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codeName="ThisWorkbook" defaultThemeVersion="124226"/>
  <mc:AlternateContent xmlns:mc="http://schemas.openxmlformats.org/markup-compatibility/2006">
    <mc:Choice Requires="x15">
      <x15ac:absPath xmlns:x15ac="http://schemas.microsoft.com/office/spreadsheetml/2010/11/ac" url="https://maderasuperiorcourt-my.sharepoint.com/personal/adrienne_calip_madera_courts_ca_gov/Documents/ACalip$/Budget-Financial/2025-2026 Budget/JCC Final &amp; Approved Budget Allocations (2025-26)/"/>
    </mc:Choice>
  </mc:AlternateContent>
  <xr:revisionPtr revIDLastSave="0" documentId="8_{37089644-C246-42F2-8718-662627CFDA4C}" xr6:coauthVersionLast="47" xr6:coauthVersionMax="47" xr10:uidLastSave="{00000000-0000-0000-0000-000000000000}"/>
  <bookViews>
    <workbookView xWindow="-120" yWindow="-120" windowWidth="29040" windowHeight="15720" tabRatio="798" firstSheet="1" activeTab="1" xr2:uid="{00000000-000D-0000-FFFF-FFFF00000000}"/>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4" i="41" l="1"/>
  <c r="D65" i="83" l="1"/>
  <c r="E65" i="83"/>
  <c r="F65" i="83"/>
  <c r="G65" i="83"/>
  <c r="H65" i="83"/>
  <c r="I65" i="83"/>
  <c r="J65" i="83"/>
  <c r="K65" i="83"/>
  <c r="L65" i="83"/>
  <c r="M65" i="83"/>
  <c r="O65" i="83"/>
  <c r="P65" i="83"/>
  <c r="Q65" i="83"/>
  <c r="C65" i="83"/>
  <c r="C9" i="147"/>
  <c r="C8" i="147"/>
  <c r="C7" i="147"/>
  <c r="C6" i="147"/>
  <c r="E64" i="145"/>
  <c r="D64" i="145"/>
  <c r="E63" i="145"/>
  <c r="D63" i="145"/>
  <c r="E62" i="145"/>
  <c r="D62" i="145"/>
  <c r="E61" i="145"/>
  <c r="D61" i="145"/>
  <c r="E60" i="145"/>
  <c r="D60" i="145"/>
  <c r="E59" i="145"/>
  <c r="D59" i="145"/>
  <c r="E58" i="145"/>
  <c r="D58" i="145"/>
  <c r="E57" i="145"/>
  <c r="D57" i="145"/>
  <c r="E56" i="145"/>
  <c r="D56" i="145"/>
  <c r="E55" i="145"/>
  <c r="D55" i="145"/>
  <c r="E54" i="145"/>
  <c r="D54" i="145"/>
  <c r="E53" i="145"/>
  <c r="D53" i="145"/>
  <c r="E52" i="145"/>
  <c r="D52" i="145"/>
  <c r="E51" i="145"/>
  <c r="D51" i="145"/>
  <c r="E50" i="145"/>
  <c r="D50" i="145"/>
  <c r="E49" i="145"/>
  <c r="D49" i="145"/>
  <c r="E48" i="145"/>
  <c r="D48" i="145"/>
  <c r="E47" i="145"/>
  <c r="D47" i="145"/>
  <c r="E46" i="145"/>
  <c r="D46" i="145"/>
  <c r="E45" i="145"/>
  <c r="D45" i="145"/>
  <c r="E44" i="145"/>
  <c r="D44" i="145"/>
  <c r="E43" i="145"/>
  <c r="D43" i="145"/>
  <c r="E42" i="145"/>
  <c r="D42" i="145"/>
  <c r="E41" i="145"/>
  <c r="D41" i="145"/>
  <c r="E40" i="145"/>
  <c r="D40" i="145"/>
  <c r="E39" i="145"/>
  <c r="D39" i="145"/>
  <c r="E38" i="145"/>
  <c r="D38" i="145"/>
  <c r="E37" i="145"/>
  <c r="D37" i="145"/>
  <c r="E36" i="145"/>
  <c r="D36" i="145"/>
  <c r="E35" i="145"/>
  <c r="D35" i="145"/>
  <c r="E34" i="145"/>
  <c r="D34" i="145"/>
  <c r="E33" i="145"/>
  <c r="D33" i="145"/>
  <c r="E32" i="145"/>
  <c r="D32" i="145"/>
  <c r="E31" i="145"/>
  <c r="D31" i="145"/>
  <c r="E30" i="145"/>
  <c r="D30" i="145"/>
  <c r="E29" i="145"/>
  <c r="D29" i="145"/>
  <c r="E28" i="145"/>
  <c r="D28" i="145"/>
  <c r="E27" i="145"/>
  <c r="D27" i="145"/>
  <c r="E26" i="145"/>
  <c r="D26" i="145"/>
  <c r="E25" i="145"/>
  <c r="D25" i="145"/>
  <c r="E24" i="145"/>
  <c r="D24" i="145"/>
  <c r="E23" i="145"/>
  <c r="D23" i="145"/>
  <c r="E22" i="145"/>
  <c r="D22" i="145"/>
  <c r="E21" i="145"/>
  <c r="D21" i="145"/>
  <c r="E20" i="145"/>
  <c r="D20" i="145"/>
  <c r="E19" i="145"/>
  <c r="D19" i="145"/>
  <c r="E18" i="145"/>
  <c r="D18" i="145"/>
  <c r="E17" i="145"/>
  <c r="D17" i="145"/>
  <c r="E16" i="145"/>
  <c r="D16" i="145"/>
  <c r="E15" i="145"/>
  <c r="D15" i="145"/>
  <c r="E14" i="145"/>
  <c r="D14" i="145"/>
  <c r="E13" i="145"/>
  <c r="D13" i="145"/>
  <c r="E12" i="145"/>
  <c r="D12" i="145"/>
  <c r="E11" i="145"/>
  <c r="D11" i="145"/>
  <c r="E10" i="145"/>
  <c r="D10" i="145"/>
  <c r="E9" i="145"/>
  <c r="D9" i="145"/>
  <c r="E8" i="145"/>
  <c r="D8" i="145"/>
  <c r="E7" i="145"/>
  <c r="D7" i="145"/>
  <c r="E64" i="146"/>
  <c r="D64" i="146"/>
  <c r="C64" i="146"/>
  <c r="B64" i="146"/>
  <c r="E63" i="146"/>
  <c r="D63" i="146"/>
  <c r="C63" i="146"/>
  <c r="B63" i="146"/>
  <c r="E62" i="146"/>
  <c r="D62" i="146"/>
  <c r="C62" i="146"/>
  <c r="B62" i="146"/>
  <c r="E61" i="146"/>
  <c r="D61" i="146"/>
  <c r="C61" i="146"/>
  <c r="B61" i="146"/>
  <c r="E60" i="146"/>
  <c r="D60" i="146"/>
  <c r="C60" i="146"/>
  <c r="B60" i="146"/>
  <c r="E59" i="146"/>
  <c r="D59" i="146"/>
  <c r="C59" i="146"/>
  <c r="B59" i="146"/>
  <c r="E58" i="146"/>
  <c r="D58" i="146"/>
  <c r="C58" i="146"/>
  <c r="B58" i="146"/>
  <c r="E57" i="146"/>
  <c r="D57" i="146"/>
  <c r="C57" i="146"/>
  <c r="B57" i="146"/>
  <c r="E56" i="146"/>
  <c r="D56" i="146"/>
  <c r="C56" i="146"/>
  <c r="B56" i="146"/>
  <c r="E55" i="146"/>
  <c r="D55" i="146"/>
  <c r="C55" i="146"/>
  <c r="B55" i="146"/>
  <c r="E54" i="146"/>
  <c r="D54" i="146"/>
  <c r="C54" i="146"/>
  <c r="B54" i="146"/>
  <c r="E53" i="146"/>
  <c r="D53" i="146"/>
  <c r="C53" i="146"/>
  <c r="B53" i="146"/>
  <c r="E52" i="146"/>
  <c r="D52" i="146"/>
  <c r="C52" i="146"/>
  <c r="B52" i="146"/>
  <c r="E51" i="146"/>
  <c r="D51" i="146"/>
  <c r="C51" i="146"/>
  <c r="B51" i="146"/>
  <c r="E50" i="146"/>
  <c r="D50" i="146"/>
  <c r="C50" i="146"/>
  <c r="B50" i="146"/>
  <c r="E49" i="146"/>
  <c r="D49" i="146"/>
  <c r="C49" i="146"/>
  <c r="B49" i="146"/>
  <c r="E48" i="146"/>
  <c r="D48" i="146"/>
  <c r="C48" i="146"/>
  <c r="B48" i="146"/>
  <c r="E47" i="146"/>
  <c r="D47" i="146"/>
  <c r="C47" i="146"/>
  <c r="B47" i="146"/>
  <c r="E46" i="146"/>
  <c r="D46" i="146"/>
  <c r="C46" i="146"/>
  <c r="B46" i="146"/>
  <c r="E45" i="146"/>
  <c r="D45" i="146"/>
  <c r="C45" i="146"/>
  <c r="B45" i="146"/>
  <c r="E44" i="146"/>
  <c r="D44" i="146"/>
  <c r="C44" i="146"/>
  <c r="B44" i="146"/>
  <c r="E43" i="146"/>
  <c r="D43" i="146"/>
  <c r="C43" i="146"/>
  <c r="B43" i="146"/>
  <c r="E42" i="146"/>
  <c r="D42" i="146"/>
  <c r="C42" i="146"/>
  <c r="B42" i="146"/>
  <c r="E41" i="146"/>
  <c r="D41" i="146"/>
  <c r="C41" i="146"/>
  <c r="B41" i="146"/>
  <c r="E40" i="146"/>
  <c r="D40" i="146"/>
  <c r="C40" i="146"/>
  <c r="B40" i="146"/>
  <c r="E39" i="146"/>
  <c r="D39" i="146"/>
  <c r="C39" i="146"/>
  <c r="B39" i="146"/>
  <c r="E38" i="146"/>
  <c r="D38" i="146"/>
  <c r="C38" i="146"/>
  <c r="B38" i="146"/>
  <c r="E37" i="146"/>
  <c r="D37" i="146"/>
  <c r="C37" i="146"/>
  <c r="B37" i="146"/>
  <c r="E36" i="146"/>
  <c r="D36" i="146"/>
  <c r="C36" i="146"/>
  <c r="B36" i="146"/>
  <c r="E35" i="146"/>
  <c r="D35" i="146"/>
  <c r="C35" i="146"/>
  <c r="B35" i="146"/>
  <c r="E34" i="146"/>
  <c r="D34" i="146"/>
  <c r="C34" i="146"/>
  <c r="B34" i="146"/>
  <c r="E33" i="146"/>
  <c r="D33" i="146"/>
  <c r="C33" i="146"/>
  <c r="B33" i="146"/>
  <c r="E32" i="146"/>
  <c r="D32" i="146"/>
  <c r="C32" i="146"/>
  <c r="B32" i="146"/>
  <c r="E31" i="146"/>
  <c r="D31" i="146"/>
  <c r="C31" i="146"/>
  <c r="B31" i="146"/>
  <c r="E30" i="146"/>
  <c r="D30" i="146"/>
  <c r="C30" i="146"/>
  <c r="B30" i="146"/>
  <c r="E29" i="146"/>
  <c r="D29" i="146"/>
  <c r="C29" i="146"/>
  <c r="B29" i="146"/>
  <c r="E28" i="146"/>
  <c r="D28" i="146"/>
  <c r="C28" i="146"/>
  <c r="B28" i="146"/>
  <c r="E27" i="146"/>
  <c r="D27" i="146"/>
  <c r="C27" i="146"/>
  <c r="B27" i="146"/>
  <c r="E26" i="146"/>
  <c r="D26" i="146"/>
  <c r="C26" i="146"/>
  <c r="B26" i="146"/>
  <c r="E25" i="146"/>
  <c r="D25" i="146"/>
  <c r="C25" i="146"/>
  <c r="B25" i="146"/>
  <c r="E24" i="146"/>
  <c r="D24" i="146"/>
  <c r="C24" i="146"/>
  <c r="B24" i="146"/>
  <c r="E23" i="146"/>
  <c r="D23" i="146"/>
  <c r="C23" i="146"/>
  <c r="B23" i="146"/>
  <c r="E22" i="146"/>
  <c r="D22" i="146"/>
  <c r="C22" i="146"/>
  <c r="B22" i="146"/>
  <c r="E21" i="146"/>
  <c r="D21" i="146"/>
  <c r="C21" i="146"/>
  <c r="B21" i="146"/>
  <c r="E20" i="146"/>
  <c r="D20" i="146"/>
  <c r="C20" i="146"/>
  <c r="B20" i="146"/>
  <c r="E19" i="146"/>
  <c r="D19" i="146"/>
  <c r="C19" i="146"/>
  <c r="B19" i="146"/>
  <c r="E18" i="146"/>
  <c r="D18" i="146"/>
  <c r="C18" i="146"/>
  <c r="B18" i="146"/>
  <c r="E17" i="146"/>
  <c r="D17" i="146"/>
  <c r="C17" i="146"/>
  <c r="B17" i="146"/>
  <c r="E16" i="146"/>
  <c r="D16" i="146"/>
  <c r="C16" i="146"/>
  <c r="B16" i="146"/>
  <c r="E15" i="146"/>
  <c r="D15" i="146"/>
  <c r="C15" i="146"/>
  <c r="B15" i="146"/>
  <c r="E14" i="146"/>
  <c r="D14" i="146"/>
  <c r="C14" i="146"/>
  <c r="B14" i="146"/>
  <c r="E13" i="146"/>
  <c r="D13" i="146"/>
  <c r="C13" i="146"/>
  <c r="B13" i="146"/>
  <c r="E12" i="146"/>
  <c r="D12" i="146"/>
  <c r="C12" i="146"/>
  <c r="B12" i="146"/>
  <c r="E11" i="146"/>
  <c r="D11" i="146"/>
  <c r="C11" i="146"/>
  <c r="B11" i="146"/>
  <c r="E10" i="146"/>
  <c r="D10" i="146"/>
  <c r="C10" i="146"/>
  <c r="B10" i="146"/>
  <c r="E9" i="146"/>
  <c r="D9" i="146"/>
  <c r="C9" i="146"/>
  <c r="B9" i="146"/>
  <c r="E8" i="146"/>
  <c r="D8" i="146"/>
  <c r="C8" i="146"/>
  <c r="B8" i="146"/>
  <c r="E7" i="146"/>
  <c r="D7" i="146"/>
  <c r="C7" i="146"/>
  <c r="B7" i="146"/>
  <c r="E64" i="143"/>
  <c r="D64" i="143"/>
  <c r="C64" i="143"/>
  <c r="B64" i="143"/>
  <c r="E63" i="143"/>
  <c r="D63" i="143"/>
  <c r="C63" i="143"/>
  <c r="B63" i="143"/>
  <c r="E62" i="143"/>
  <c r="D62" i="143"/>
  <c r="C62" i="143"/>
  <c r="B62" i="143"/>
  <c r="E61" i="143"/>
  <c r="D61" i="143"/>
  <c r="C61" i="143"/>
  <c r="B61" i="143"/>
  <c r="E60" i="143"/>
  <c r="D60" i="143"/>
  <c r="C60" i="143"/>
  <c r="B60" i="143"/>
  <c r="E59" i="143"/>
  <c r="D59" i="143"/>
  <c r="C59" i="143"/>
  <c r="B59" i="143"/>
  <c r="E58" i="143"/>
  <c r="D58" i="143"/>
  <c r="C58" i="143"/>
  <c r="B58" i="143"/>
  <c r="E57" i="143"/>
  <c r="D57" i="143"/>
  <c r="C57" i="143"/>
  <c r="B57" i="143"/>
  <c r="E56" i="143"/>
  <c r="D56" i="143"/>
  <c r="C56" i="143"/>
  <c r="B56" i="143"/>
  <c r="E55" i="143"/>
  <c r="D55" i="143"/>
  <c r="C55" i="143"/>
  <c r="B55" i="143"/>
  <c r="E54" i="143"/>
  <c r="D54" i="143"/>
  <c r="C54" i="143"/>
  <c r="B54" i="143"/>
  <c r="E53" i="143"/>
  <c r="D53" i="143"/>
  <c r="C53" i="143"/>
  <c r="B53" i="143"/>
  <c r="E52" i="143"/>
  <c r="D52" i="143"/>
  <c r="C52" i="143"/>
  <c r="B52" i="143"/>
  <c r="E51" i="143"/>
  <c r="D51" i="143"/>
  <c r="C51" i="143"/>
  <c r="B51" i="143"/>
  <c r="E50" i="143"/>
  <c r="D50" i="143"/>
  <c r="C50" i="143"/>
  <c r="B50" i="143"/>
  <c r="E49" i="143"/>
  <c r="D49" i="143"/>
  <c r="C49" i="143"/>
  <c r="B49" i="143"/>
  <c r="E48" i="143"/>
  <c r="D48" i="143"/>
  <c r="C48" i="143"/>
  <c r="B48" i="143"/>
  <c r="E47" i="143"/>
  <c r="D47" i="143"/>
  <c r="C47" i="143"/>
  <c r="B47" i="143"/>
  <c r="E46" i="143"/>
  <c r="D46" i="143"/>
  <c r="C46" i="143"/>
  <c r="B46" i="143"/>
  <c r="E45" i="143"/>
  <c r="D45" i="143"/>
  <c r="C45" i="143"/>
  <c r="B45" i="143"/>
  <c r="E44" i="143"/>
  <c r="D44" i="143"/>
  <c r="C44" i="143"/>
  <c r="B44" i="143"/>
  <c r="E43" i="143"/>
  <c r="D43" i="143"/>
  <c r="C43" i="143"/>
  <c r="B43" i="143"/>
  <c r="E42" i="143"/>
  <c r="D42" i="143"/>
  <c r="C42" i="143"/>
  <c r="B42" i="143"/>
  <c r="E41" i="143"/>
  <c r="D41" i="143"/>
  <c r="C41" i="143"/>
  <c r="B41" i="143"/>
  <c r="E40" i="143"/>
  <c r="D40" i="143"/>
  <c r="C40" i="143"/>
  <c r="B40" i="143"/>
  <c r="E39" i="143"/>
  <c r="D39" i="143"/>
  <c r="C39" i="143"/>
  <c r="B39" i="143"/>
  <c r="E38" i="143"/>
  <c r="D38" i="143"/>
  <c r="C38" i="143"/>
  <c r="B38" i="143"/>
  <c r="E37" i="143"/>
  <c r="D37" i="143"/>
  <c r="C37" i="143"/>
  <c r="B37" i="143"/>
  <c r="E36" i="143"/>
  <c r="D36" i="143"/>
  <c r="C36" i="143"/>
  <c r="B36" i="143"/>
  <c r="E35" i="143"/>
  <c r="D35" i="143"/>
  <c r="C35" i="143"/>
  <c r="B35" i="143"/>
  <c r="E34" i="143"/>
  <c r="D34" i="143"/>
  <c r="C34" i="143"/>
  <c r="B34" i="143"/>
  <c r="E33" i="143"/>
  <c r="D33" i="143"/>
  <c r="C33" i="143"/>
  <c r="B33" i="143"/>
  <c r="E32" i="143"/>
  <c r="D32" i="143"/>
  <c r="C32" i="143"/>
  <c r="B32" i="143"/>
  <c r="E31" i="143"/>
  <c r="D31" i="143"/>
  <c r="C31" i="143"/>
  <c r="B31" i="143"/>
  <c r="E30" i="143"/>
  <c r="D30" i="143"/>
  <c r="C30" i="143"/>
  <c r="B30" i="143"/>
  <c r="E29" i="143"/>
  <c r="D29" i="143"/>
  <c r="C29" i="143"/>
  <c r="B29" i="143"/>
  <c r="E28" i="143"/>
  <c r="D28" i="143"/>
  <c r="C28" i="143"/>
  <c r="B28" i="143"/>
  <c r="E27" i="143"/>
  <c r="D27" i="143"/>
  <c r="C27" i="143"/>
  <c r="B27" i="143"/>
  <c r="E26" i="143"/>
  <c r="D26" i="143"/>
  <c r="C26" i="143"/>
  <c r="B26" i="143"/>
  <c r="E25" i="143"/>
  <c r="D25" i="143"/>
  <c r="C25" i="143"/>
  <c r="B25" i="143"/>
  <c r="E24" i="143"/>
  <c r="D24" i="143"/>
  <c r="C24" i="143"/>
  <c r="B24" i="143"/>
  <c r="E23" i="143"/>
  <c r="D23" i="143"/>
  <c r="C23" i="143"/>
  <c r="B23" i="143"/>
  <c r="E22" i="143"/>
  <c r="D22" i="143"/>
  <c r="C22" i="143"/>
  <c r="B22" i="143"/>
  <c r="E21" i="143"/>
  <c r="D21" i="143"/>
  <c r="C21" i="143"/>
  <c r="B21" i="143"/>
  <c r="E20" i="143"/>
  <c r="D20" i="143"/>
  <c r="C20" i="143"/>
  <c r="B20" i="143"/>
  <c r="E19" i="143"/>
  <c r="D19" i="143"/>
  <c r="C19" i="143"/>
  <c r="B19" i="143"/>
  <c r="E18" i="143"/>
  <c r="D18" i="143"/>
  <c r="C18" i="143"/>
  <c r="B18" i="143"/>
  <c r="E17" i="143"/>
  <c r="D17" i="143"/>
  <c r="C17" i="143"/>
  <c r="B17" i="143"/>
  <c r="E16" i="143"/>
  <c r="D16" i="143"/>
  <c r="C16" i="143"/>
  <c r="B16" i="143"/>
  <c r="E15" i="143"/>
  <c r="D15" i="143"/>
  <c r="C15" i="143"/>
  <c r="B15" i="143"/>
  <c r="E14" i="143"/>
  <c r="D14" i="143"/>
  <c r="C14" i="143"/>
  <c r="B14" i="143"/>
  <c r="E13" i="143"/>
  <c r="D13" i="143"/>
  <c r="C13" i="143"/>
  <c r="B13" i="143"/>
  <c r="E12" i="143"/>
  <c r="D12" i="143"/>
  <c r="C12" i="143"/>
  <c r="B12" i="143"/>
  <c r="E11" i="143"/>
  <c r="D11" i="143"/>
  <c r="C11" i="143"/>
  <c r="B11" i="143"/>
  <c r="E10" i="143"/>
  <c r="D10" i="143"/>
  <c r="C10" i="143"/>
  <c r="B10" i="143"/>
  <c r="E9" i="143"/>
  <c r="D9" i="143"/>
  <c r="C9" i="143"/>
  <c r="B9" i="143"/>
  <c r="E8" i="143"/>
  <c r="D8" i="143"/>
  <c r="C8" i="143"/>
  <c r="B8" i="143"/>
  <c r="E7" i="143"/>
  <c r="D7" i="143"/>
  <c r="C7" i="143"/>
  <c r="B7" i="143"/>
  <c r="G7" i="143" l="1"/>
  <c r="F7" i="143"/>
  <c r="H7" i="145" l="1"/>
  <c r="H8" i="73" l="1"/>
  <c r="H9" i="73"/>
  <c r="H10" i="73"/>
  <c r="H11" i="73"/>
  <c r="H12" i="73"/>
  <c r="H13" i="73"/>
  <c r="H14" i="73"/>
  <c r="H15" i="73"/>
  <c r="H16" i="73"/>
  <c r="H17" i="73"/>
  <c r="H18" i="73"/>
  <c r="H19" i="73"/>
  <c r="H20" i="73"/>
  <c r="H21" i="73"/>
  <c r="H22" i="73"/>
  <c r="H23" i="73"/>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7" i="73"/>
  <c r="G8" i="73"/>
  <c r="G9" i="73"/>
  <c r="G10" i="73"/>
  <c r="G11" i="73"/>
  <c r="G12" i="73"/>
  <c r="G13" i="73"/>
  <c r="G14" i="73"/>
  <c r="G15" i="73"/>
  <c r="G16" i="73"/>
  <c r="G17" i="73"/>
  <c r="G18" i="73"/>
  <c r="G19" i="73"/>
  <c r="G20" i="73"/>
  <c r="G21" i="73"/>
  <c r="G22" i="73"/>
  <c r="G23" i="73"/>
  <c r="G24" i="73"/>
  <c r="G25" i="73"/>
  <c r="G26" i="73"/>
  <c r="G27" i="73"/>
  <c r="G28" i="73"/>
  <c r="G29" i="73"/>
  <c r="G30" i="73"/>
  <c r="G31" i="73"/>
  <c r="G32" i="73"/>
  <c r="G33" i="73"/>
  <c r="G34" i="73"/>
  <c r="G35" i="73"/>
  <c r="G36" i="73"/>
  <c r="G37" i="73"/>
  <c r="G38" i="73"/>
  <c r="G39" i="73"/>
  <c r="G40" i="73"/>
  <c r="G41" i="73"/>
  <c r="G42" i="73"/>
  <c r="G43" i="73"/>
  <c r="G44" i="73"/>
  <c r="G45" i="73"/>
  <c r="G46" i="73"/>
  <c r="G47" i="73"/>
  <c r="G48" i="73"/>
  <c r="G49" i="73"/>
  <c r="G50" i="73"/>
  <c r="G51" i="73"/>
  <c r="G52" i="73"/>
  <c r="G53" i="73"/>
  <c r="G54" i="73"/>
  <c r="G55" i="73"/>
  <c r="G56" i="73"/>
  <c r="G57" i="73"/>
  <c r="G58" i="73"/>
  <c r="G59" i="73"/>
  <c r="G60" i="73"/>
  <c r="G61" i="73"/>
  <c r="G62" i="73"/>
  <c r="G63" i="73"/>
  <c r="G64" i="73"/>
  <c r="G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54" i="73"/>
  <c r="F55" i="73"/>
  <c r="F56" i="73"/>
  <c r="F57" i="73"/>
  <c r="F58" i="73"/>
  <c r="F59" i="73"/>
  <c r="F60" i="73"/>
  <c r="F61" i="73"/>
  <c r="F62" i="73"/>
  <c r="F63" i="73"/>
  <c r="F64" i="73"/>
  <c r="F7" i="73"/>
  <c r="E8" i="73"/>
  <c r="E9" i="73"/>
  <c r="I9" i="73" s="1"/>
  <c r="E10" i="73"/>
  <c r="E11" i="73"/>
  <c r="E12" i="73"/>
  <c r="I12" i="73" s="1"/>
  <c r="E13" i="73"/>
  <c r="I13" i="73" s="1"/>
  <c r="E14" i="73"/>
  <c r="E15" i="73"/>
  <c r="E16" i="73"/>
  <c r="E17" i="73"/>
  <c r="E18" i="73"/>
  <c r="E19" i="73"/>
  <c r="E20" i="73"/>
  <c r="I20" i="73" s="1"/>
  <c r="E21" i="73"/>
  <c r="E22" i="73"/>
  <c r="E23" i="73"/>
  <c r="I23" i="73" s="1"/>
  <c r="E24" i="73"/>
  <c r="I24" i="73" s="1"/>
  <c r="E25" i="73"/>
  <c r="E26" i="73"/>
  <c r="I26" i="73" s="1"/>
  <c r="E27" i="73"/>
  <c r="E28" i="73"/>
  <c r="I28" i="73" s="1"/>
  <c r="E29" i="73"/>
  <c r="E30" i="73"/>
  <c r="E31" i="73"/>
  <c r="E32" i="73"/>
  <c r="I32" i="73" s="1"/>
  <c r="E33" i="73"/>
  <c r="I33" i="73" s="1"/>
  <c r="E34" i="73"/>
  <c r="E35" i="73"/>
  <c r="E36" i="73"/>
  <c r="E37" i="73"/>
  <c r="E38" i="73"/>
  <c r="E39" i="73"/>
  <c r="E40" i="73"/>
  <c r="I40" i="73" s="1"/>
  <c r="E41" i="73"/>
  <c r="E42" i="73"/>
  <c r="E43" i="73"/>
  <c r="E44" i="73"/>
  <c r="E45" i="73"/>
  <c r="E46" i="73"/>
  <c r="E47" i="73"/>
  <c r="I47" i="73" s="1"/>
  <c r="E48" i="73"/>
  <c r="E49" i="73"/>
  <c r="E50" i="73"/>
  <c r="E51" i="73"/>
  <c r="E52" i="73"/>
  <c r="I52" i="73" s="1"/>
  <c r="E53" i="73"/>
  <c r="I53" i="73" s="1"/>
  <c r="E54" i="73"/>
  <c r="E55" i="73"/>
  <c r="E56" i="73"/>
  <c r="E57" i="73"/>
  <c r="E58" i="73"/>
  <c r="E59" i="73"/>
  <c r="E60" i="73"/>
  <c r="I60" i="73" s="1"/>
  <c r="E61" i="73"/>
  <c r="E62" i="73"/>
  <c r="E63" i="73"/>
  <c r="E64" i="73"/>
  <c r="I64" i="73" s="1"/>
  <c r="E7" i="73"/>
  <c r="D8" i="73"/>
  <c r="D9" i="73"/>
  <c r="D10" i="73"/>
  <c r="D11" i="73"/>
  <c r="D12" i="73"/>
  <c r="D13" i="73"/>
  <c r="D14" i="73"/>
  <c r="D15" i="73"/>
  <c r="D16"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7" i="73"/>
  <c r="C8" i="73"/>
  <c r="C9" i="73"/>
  <c r="C10" i="73"/>
  <c r="C11" i="73"/>
  <c r="C12" i="73"/>
  <c r="C13" i="73"/>
  <c r="C14" i="73"/>
  <c r="C15" i="73"/>
  <c r="C16" i="73"/>
  <c r="C17" i="73"/>
  <c r="C18" i="73"/>
  <c r="C19" i="73"/>
  <c r="C20" i="73"/>
  <c r="C21" i="73"/>
  <c r="C22" i="73"/>
  <c r="C23" i="73"/>
  <c r="C24" i="73"/>
  <c r="C25" i="73"/>
  <c r="C26" i="73"/>
  <c r="C27" i="73"/>
  <c r="C28" i="73"/>
  <c r="C29" i="73"/>
  <c r="C30" i="73"/>
  <c r="C31" i="73"/>
  <c r="C32" i="73"/>
  <c r="C33" i="73"/>
  <c r="C34" i="73"/>
  <c r="C35" i="73"/>
  <c r="C36" i="73"/>
  <c r="C37" i="73"/>
  <c r="C38" i="73"/>
  <c r="C39" i="73"/>
  <c r="C40" i="73"/>
  <c r="C41" i="73"/>
  <c r="C42" i="73"/>
  <c r="C43" i="73"/>
  <c r="C44" i="73"/>
  <c r="C45" i="73"/>
  <c r="C46" i="73"/>
  <c r="C47" i="73"/>
  <c r="C48" i="73"/>
  <c r="C49" i="73"/>
  <c r="C50" i="73"/>
  <c r="C51" i="73"/>
  <c r="C52" i="73"/>
  <c r="C53" i="73"/>
  <c r="C54" i="73"/>
  <c r="C55" i="73"/>
  <c r="C56" i="73"/>
  <c r="C57" i="73"/>
  <c r="C58" i="73"/>
  <c r="C59" i="73"/>
  <c r="C60" i="73"/>
  <c r="C61" i="73"/>
  <c r="C62" i="73"/>
  <c r="C63" i="73"/>
  <c r="C64" i="73"/>
  <c r="C7" i="73"/>
  <c r="I63" i="73" l="1"/>
  <c r="I43" i="73"/>
  <c r="I27" i="73"/>
  <c r="I61" i="73"/>
  <c r="I41" i="73"/>
  <c r="I21" i="73"/>
  <c r="C20" i="72" s="1"/>
  <c r="I48" i="73"/>
  <c r="I8" i="73"/>
  <c r="C7" i="72" s="1"/>
  <c r="I50" i="73"/>
  <c r="C49" i="72" s="1"/>
  <c r="I17" i="73"/>
  <c r="N17" i="41" s="1"/>
  <c r="I56" i="73"/>
  <c r="C55" i="72" s="1"/>
  <c r="I36" i="73"/>
  <c r="C35" i="72" s="1"/>
  <c r="I16" i="73"/>
  <c r="C15" i="72" s="1"/>
  <c r="I57" i="73"/>
  <c r="N57" i="41" s="1"/>
  <c r="I37" i="73"/>
  <c r="C36" i="72" s="1"/>
  <c r="I14" i="73"/>
  <c r="C13" i="72" s="1"/>
  <c r="I51" i="73"/>
  <c r="C50" i="72" s="1"/>
  <c r="I31" i="73"/>
  <c r="C30" i="72" s="1"/>
  <c r="I11" i="73"/>
  <c r="N11" i="41" s="1"/>
  <c r="I44" i="73"/>
  <c r="C43" i="72" s="1"/>
  <c r="I58" i="73"/>
  <c r="C57" i="72" s="1"/>
  <c r="I38" i="73"/>
  <c r="N38" i="41" s="1"/>
  <c r="I18" i="73"/>
  <c r="I46" i="73"/>
  <c r="I7" i="73"/>
  <c r="C6" i="72" s="1"/>
  <c r="I45" i="73"/>
  <c r="N45" i="41" s="1"/>
  <c r="I25" i="73"/>
  <c r="N25" i="41" s="1"/>
  <c r="I62" i="73"/>
  <c r="I42" i="73"/>
  <c r="N42" i="41" s="1"/>
  <c r="I22" i="73"/>
  <c r="C21" i="72" s="1"/>
  <c r="I59" i="73"/>
  <c r="C58" i="72" s="1"/>
  <c r="I39" i="73"/>
  <c r="N39" i="41" s="1"/>
  <c r="I19" i="73"/>
  <c r="N19" i="41" s="1"/>
  <c r="I55" i="73"/>
  <c r="C54" i="72" s="1"/>
  <c r="I35" i="73"/>
  <c r="I15" i="73"/>
  <c r="C14" i="72" s="1"/>
  <c r="I54" i="73"/>
  <c r="I34" i="73"/>
  <c r="C33" i="72" s="1"/>
  <c r="I30" i="73"/>
  <c r="C29" i="72" s="1"/>
  <c r="I10" i="73"/>
  <c r="N10" i="41" s="1"/>
  <c r="I49" i="73"/>
  <c r="N49" i="41" s="1"/>
  <c r="I29" i="73"/>
  <c r="C28" i="72" s="1"/>
  <c r="D6" i="148"/>
  <c r="D7" i="148"/>
  <c r="D8" i="148"/>
  <c r="D9" i="148"/>
  <c r="D10" i="148"/>
  <c r="D11" i="148"/>
  <c r="D12" i="148"/>
  <c r="D13" i="148"/>
  <c r="D14" i="148"/>
  <c r="D15" i="148"/>
  <c r="D16" i="148"/>
  <c r="D17" i="148"/>
  <c r="E17" i="148" s="1"/>
  <c r="AA19" i="41" s="1"/>
  <c r="D18" i="148"/>
  <c r="D19" i="148"/>
  <c r="D20" i="148"/>
  <c r="D21" i="148"/>
  <c r="D22" i="148"/>
  <c r="D23" i="148"/>
  <c r="D24" i="148"/>
  <c r="D25" i="148"/>
  <c r="D26" i="148"/>
  <c r="D27" i="148"/>
  <c r="D28" i="148"/>
  <c r="D29" i="148"/>
  <c r="D30" i="148"/>
  <c r="D31" i="148"/>
  <c r="D32" i="148"/>
  <c r="D33" i="148"/>
  <c r="D34" i="148"/>
  <c r="D35" i="148"/>
  <c r="D36" i="148"/>
  <c r="D37" i="148"/>
  <c r="D38" i="148"/>
  <c r="D39" i="148"/>
  <c r="D40" i="148"/>
  <c r="D41" i="148"/>
  <c r="D42" i="148"/>
  <c r="D43" i="148"/>
  <c r="D44" i="148"/>
  <c r="D45" i="148"/>
  <c r="D46" i="148"/>
  <c r="D47" i="148"/>
  <c r="D48" i="148"/>
  <c r="D49" i="148"/>
  <c r="E49" i="148" s="1"/>
  <c r="AA51" i="41" s="1"/>
  <c r="D50" i="148"/>
  <c r="D51" i="148"/>
  <c r="D52" i="148"/>
  <c r="D53" i="148"/>
  <c r="D54" i="148"/>
  <c r="D55" i="148"/>
  <c r="D56" i="148"/>
  <c r="D57" i="148"/>
  <c r="AA59" i="41" s="1"/>
  <c r="D58" i="148"/>
  <c r="D59" i="148"/>
  <c r="D60" i="148"/>
  <c r="D61" i="148"/>
  <c r="D62" i="148"/>
  <c r="D5" i="148"/>
  <c r="C6" i="148"/>
  <c r="C7" i="148"/>
  <c r="C8" i="148"/>
  <c r="C9" i="148"/>
  <c r="C10" i="148"/>
  <c r="C11" i="148"/>
  <c r="C12" i="148"/>
  <c r="C13" i="148"/>
  <c r="C14" i="148"/>
  <c r="C15" i="148"/>
  <c r="C16" i="148"/>
  <c r="C17" i="148"/>
  <c r="C18" i="148"/>
  <c r="C19" i="148"/>
  <c r="C20" i="148"/>
  <c r="C21" i="148"/>
  <c r="C22" i="148"/>
  <c r="C23" i="148"/>
  <c r="C24" i="148"/>
  <c r="C25" i="148"/>
  <c r="C26" i="148"/>
  <c r="C27" i="148"/>
  <c r="E27" i="148" s="1"/>
  <c r="AA29" i="41" s="1"/>
  <c r="C28" i="148"/>
  <c r="C29" i="148"/>
  <c r="C30" i="148"/>
  <c r="C31" i="148"/>
  <c r="C32" i="148"/>
  <c r="C33" i="148"/>
  <c r="C34" i="148"/>
  <c r="C35" i="148"/>
  <c r="C36" i="148"/>
  <c r="C37" i="148"/>
  <c r="C38" i="148"/>
  <c r="C39" i="148"/>
  <c r="C40" i="148"/>
  <c r="C41" i="148"/>
  <c r="C42" i="148"/>
  <c r="C43" i="148"/>
  <c r="C44" i="148"/>
  <c r="C45" i="148"/>
  <c r="C46" i="148"/>
  <c r="C47" i="148"/>
  <c r="C48" i="148"/>
  <c r="C49" i="148"/>
  <c r="C50" i="148"/>
  <c r="C51" i="148"/>
  <c r="C52" i="148"/>
  <c r="C53" i="148"/>
  <c r="C54" i="148"/>
  <c r="C55" i="148"/>
  <c r="C56" i="148"/>
  <c r="C57" i="148"/>
  <c r="C58" i="148"/>
  <c r="C59" i="148"/>
  <c r="C60" i="148"/>
  <c r="C61" i="148"/>
  <c r="C62" i="148"/>
  <c r="C5" i="148"/>
  <c r="H13" i="145"/>
  <c r="K42" i="41" s="1"/>
  <c r="E65" i="145"/>
  <c r="D7" i="41"/>
  <c r="E7" i="41"/>
  <c r="H11" i="145"/>
  <c r="K48" i="41" s="1"/>
  <c r="H9" i="145"/>
  <c r="K22" i="41" s="1"/>
  <c r="K41" i="41"/>
  <c r="C6" i="80"/>
  <c r="D6" i="80"/>
  <c r="C7" i="80"/>
  <c r="D7" i="80"/>
  <c r="C8" i="80"/>
  <c r="D8" i="80"/>
  <c r="C9" i="80"/>
  <c r="D9" i="80"/>
  <c r="C10" i="80"/>
  <c r="D10" i="80"/>
  <c r="C11" i="80"/>
  <c r="D11" i="80"/>
  <c r="C12" i="80"/>
  <c r="D12" i="80"/>
  <c r="C13" i="80"/>
  <c r="D13" i="80"/>
  <c r="C14" i="80"/>
  <c r="D14" i="80"/>
  <c r="C15" i="80"/>
  <c r="D15" i="80"/>
  <c r="C16" i="80"/>
  <c r="D16" i="80"/>
  <c r="C17" i="80"/>
  <c r="D17" i="80"/>
  <c r="C18" i="80"/>
  <c r="D18" i="80"/>
  <c r="C19" i="80"/>
  <c r="D19" i="80"/>
  <c r="C20" i="80"/>
  <c r="D20" i="80"/>
  <c r="C21" i="80"/>
  <c r="D21" i="80"/>
  <c r="C22" i="80"/>
  <c r="D22" i="80"/>
  <c r="C23" i="80"/>
  <c r="D23" i="80"/>
  <c r="C24" i="80"/>
  <c r="D24" i="80"/>
  <c r="C25" i="80"/>
  <c r="D25" i="80"/>
  <c r="C26" i="80"/>
  <c r="D26" i="80"/>
  <c r="C27" i="80"/>
  <c r="D27" i="80"/>
  <c r="C28" i="80"/>
  <c r="D28" i="80"/>
  <c r="C29" i="80"/>
  <c r="D29" i="80"/>
  <c r="C30" i="80"/>
  <c r="D30" i="80"/>
  <c r="C31" i="80"/>
  <c r="D31" i="80"/>
  <c r="C32" i="80"/>
  <c r="D32" i="80"/>
  <c r="C33" i="80"/>
  <c r="D33" i="80"/>
  <c r="C34" i="80"/>
  <c r="D34" i="80"/>
  <c r="C35" i="80"/>
  <c r="D35" i="80"/>
  <c r="C36" i="80"/>
  <c r="D36" i="80"/>
  <c r="C37" i="80"/>
  <c r="D37" i="80"/>
  <c r="C38" i="80"/>
  <c r="D38" i="80"/>
  <c r="C39" i="80"/>
  <c r="D39" i="80"/>
  <c r="C40" i="80"/>
  <c r="D40" i="80"/>
  <c r="C41" i="80"/>
  <c r="D41" i="80"/>
  <c r="C42" i="80"/>
  <c r="D42" i="80"/>
  <c r="C43" i="80"/>
  <c r="D43" i="80"/>
  <c r="C44" i="80"/>
  <c r="D44" i="80"/>
  <c r="C45" i="80"/>
  <c r="D45" i="80"/>
  <c r="C46" i="80"/>
  <c r="D46" i="80"/>
  <c r="C47" i="80"/>
  <c r="D47" i="80"/>
  <c r="C48" i="80"/>
  <c r="D48" i="80"/>
  <c r="C49" i="80"/>
  <c r="D49" i="80"/>
  <c r="C50" i="80"/>
  <c r="D50" i="80"/>
  <c r="C51" i="80"/>
  <c r="D51" i="80"/>
  <c r="C52" i="80"/>
  <c r="D52" i="80"/>
  <c r="C53" i="80"/>
  <c r="D53" i="80"/>
  <c r="C54" i="80"/>
  <c r="D54" i="80"/>
  <c r="C55" i="80"/>
  <c r="D55" i="80"/>
  <c r="C56" i="80"/>
  <c r="D56" i="80"/>
  <c r="C57" i="80"/>
  <c r="D57" i="80"/>
  <c r="C58" i="80"/>
  <c r="D58" i="80"/>
  <c r="C59" i="80"/>
  <c r="D59" i="80"/>
  <c r="C60" i="80"/>
  <c r="D60" i="80"/>
  <c r="C61" i="80"/>
  <c r="D61" i="80"/>
  <c r="C62" i="80"/>
  <c r="D62" i="80"/>
  <c r="C63" i="80"/>
  <c r="D63" i="80"/>
  <c r="E8" i="41"/>
  <c r="D8" i="41"/>
  <c r="E9" i="41"/>
  <c r="D9" i="41"/>
  <c r="C8" i="72"/>
  <c r="E10" i="41"/>
  <c r="D10" i="41"/>
  <c r="C9" i="72"/>
  <c r="E11" i="41"/>
  <c r="D11" i="41"/>
  <c r="C10" i="72"/>
  <c r="E12" i="41"/>
  <c r="D12" i="41"/>
  <c r="C11" i="72"/>
  <c r="E13" i="41"/>
  <c r="D13" i="41"/>
  <c r="C12" i="72"/>
  <c r="E14" i="41"/>
  <c r="D14" i="41"/>
  <c r="E15" i="41"/>
  <c r="D15" i="41"/>
  <c r="E16" i="41"/>
  <c r="D16" i="41"/>
  <c r="E17" i="41"/>
  <c r="D17" i="41"/>
  <c r="E18" i="41"/>
  <c r="D18" i="41"/>
  <c r="C17" i="72"/>
  <c r="E19" i="41"/>
  <c r="D19" i="41"/>
  <c r="E20" i="41"/>
  <c r="D20" i="41"/>
  <c r="C19" i="72"/>
  <c r="E21" i="41"/>
  <c r="D21" i="41"/>
  <c r="E22" i="41"/>
  <c r="D22" i="41"/>
  <c r="E23" i="41"/>
  <c r="D23" i="41"/>
  <c r="C22" i="72"/>
  <c r="E24" i="41"/>
  <c r="D24" i="41"/>
  <c r="C23" i="72"/>
  <c r="E25" i="41"/>
  <c r="D25" i="41"/>
  <c r="E26" i="41"/>
  <c r="D26" i="41"/>
  <c r="F26" i="41" s="1"/>
  <c r="C25" i="72"/>
  <c r="E27" i="41"/>
  <c r="D27" i="41"/>
  <c r="C26" i="72"/>
  <c r="E28" i="41"/>
  <c r="D28" i="41"/>
  <c r="C27" i="72"/>
  <c r="E29" i="41"/>
  <c r="D29" i="41"/>
  <c r="E30" i="41"/>
  <c r="D30" i="41"/>
  <c r="E31" i="41"/>
  <c r="D31" i="41"/>
  <c r="E32" i="41"/>
  <c r="D32" i="41"/>
  <c r="C31" i="72"/>
  <c r="E33" i="41"/>
  <c r="D33" i="41"/>
  <c r="C32" i="72"/>
  <c r="E34" i="41"/>
  <c r="D34" i="41"/>
  <c r="E35" i="41"/>
  <c r="D35" i="41"/>
  <c r="C34" i="72"/>
  <c r="E36" i="41"/>
  <c r="D36" i="41"/>
  <c r="E37" i="41"/>
  <c r="D37" i="41"/>
  <c r="E38" i="41"/>
  <c r="D38" i="41"/>
  <c r="E39" i="41"/>
  <c r="D39" i="41"/>
  <c r="C38" i="72"/>
  <c r="E40" i="41"/>
  <c r="D40" i="41"/>
  <c r="C39" i="72"/>
  <c r="E41" i="41"/>
  <c r="D41" i="41"/>
  <c r="C40" i="72"/>
  <c r="E42" i="41"/>
  <c r="D42" i="41"/>
  <c r="E43" i="41"/>
  <c r="D43" i="41"/>
  <c r="C42" i="72"/>
  <c r="E44" i="41"/>
  <c r="D44" i="41"/>
  <c r="E45" i="41"/>
  <c r="D45" i="41"/>
  <c r="E46" i="41"/>
  <c r="D46" i="41"/>
  <c r="C45" i="72"/>
  <c r="E47" i="41"/>
  <c r="D47" i="41"/>
  <c r="C46" i="72"/>
  <c r="E48" i="41"/>
  <c r="D48" i="41"/>
  <c r="C47" i="72"/>
  <c r="E49" i="41"/>
  <c r="D49" i="41"/>
  <c r="C48" i="72"/>
  <c r="E50" i="41"/>
  <c r="D50" i="41"/>
  <c r="E51" i="41"/>
  <c r="D51" i="41"/>
  <c r="E52" i="41"/>
  <c r="D52" i="41"/>
  <c r="C51" i="72"/>
  <c r="E53" i="41"/>
  <c r="D53" i="41"/>
  <c r="C52" i="72"/>
  <c r="E54" i="41"/>
  <c r="D54" i="41"/>
  <c r="C53" i="72"/>
  <c r="E55" i="41"/>
  <c r="D55" i="41"/>
  <c r="E56" i="41"/>
  <c r="D56" i="41"/>
  <c r="E57" i="41"/>
  <c r="D57" i="41"/>
  <c r="E58" i="41"/>
  <c r="D58" i="41"/>
  <c r="E59" i="41"/>
  <c r="D59" i="41"/>
  <c r="E60" i="41"/>
  <c r="D60" i="41"/>
  <c r="C59" i="72"/>
  <c r="E61" i="41"/>
  <c r="D61" i="41"/>
  <c r="C60" i="72"/>
  <c r="E62" i="41"/>
  <c r="D62" i="41"/>
  <c r="C61" i="72"/>
  <c r="E63" i="41"/>
  <c r="D63" i="41"/>
  <c r="C62" i="72"/>
  <c r="E64" i="41"/>
  <c r="D64" i="41"/>
  <c r="C63" i="72"/>
  <c r="N8" i="41"/>
  <c r="R7" i="41"/>
  <c r="Q7" i="41"/>
  <c r="N52" i="41"/>
  <c r="F52" i="146"/>
  <c r="S52" i="41" s="1"/>
  <c r="G52" i="146"/>
  <c r="T52" i="41" s="1"/>
  <c r="N60" i="41"/>
  <c r="N61" i="41"/>
  <c r="N62" i="41"/>
  <c r="N63" i="41"/>
  <c r="N64" i="41"/>
  <c r="N53" i="41"/>
  <c r="N54" i="41"/>
  <c r="N55" i="41"/>
  <c r="N56" i="41"/>
  <c r="N58" i="41"/>
  <c r="N23" i="41"/>
  <c r="N24" i="41"/>
  <c r="N26" i="41"/>
  <c r="N27" i="41"/>
  <c r="N28" i="41"/>
  <c r="N29" i="41"/>
  <c r="N31" i="41"/>
  <c r="N32" i="41"/>
  <c r="N33" i="41"/>
  <c r="N35" i="41"/>
  <c r="N36" i="41"/>
  <c r="N37" i="41"/>
  <c r="N40" i="41"/>
  <c r="N41" i="41"/>
  <c r="N43" i="41"/>
  <c r="N44" i="41"/>
  <c r="N46" i="41"/>
  <c r="N47" i="41"/>
  <c r="N48" i="41"/>
  <c r="N50" i="41"/>
  <c r="N51" i="41"/>
  <c r="N13" i="41"/>
  <c r="N18" i="41"/>
  <c r="N20" i="41"/>
  <c r="N21" i="41"/>
  <c r="N9" i="41"/>
  <c r="N12" i="41"/>
  <c r="AA8" i="41"/>
  <c r="AA52" i="41"/>
  <c r="F7" i="93"/>
  <c r="F43" i="146"/>
  <c r="S43" i="41" s="1"/>
  <c r="F7" i="146"/>
  <c r="S7" i="41" s="1"/>
  <c r="G7" i="146"/>
  <c r="T7" i="41" s="1"/>
  <c r="F8" i="143"/>
  <c r="Q8" i="41" s="1"/>
  <c r="G8" i="143"/>
  <c r="R8" i="41" s="1"/>
  <c r="F8" i="146"/>
  <c r="S8" i="41" s="1"/>
  <c r="G8" i="146"/>
  <c r="T8" i="41" s="1"/>
  <c r="F9" i="143"/>
  <c r="Q9" i="41" s="1"/>
  <c r="G9" i="143"/>
  <c r="R9" i="41" s="1"/>
  <c r="F9" i="146"/>
  <c r="S9" i="41" s="1"/>
  <c r="G9" i="146"/>
  <c r="T9" i="41" s="1"/>
  <c r="G10" i="143"/>
  <c r="R10" i="41" s="1"/>
  <c r="F10" i="146"/>
  <c r="S10" i="41" s="1"/>
  <c r="G10" i="146"/>
  <c r="T10" i="41" s="1"/>
  <c r="F11" i="143"/>
  <c r="Q11" i="41" s="1"/>
  <c r="G11" i="143"/>
  <c r="R11" i="41" s="1"/>
  <c r="G11" i="146"/>
  <c r="T11" i="41" s="1"/>
  <c r="F12" i="143"/>
  <c r="Q12" i="41" s="1"/>
  <c r="G12" i="143"/>
  <c r="R12" i="41" s="1"/>
  <c r="F12" i="146"/>
  <c r="S12" i="41" s="1"/>
  <c r="G12" i="146"/>
  <c r="T12" i="41" s="1"/>
  <c r="F13" i="143"/>
  <c r="Q13" i="41" s="1"/>
  <c r="G13" i="143"/>
  <c r="R13" i="41" s="1"/>
  <c r="F13" i="146"/>
  <c r="S13" i="41" s="1"/>
  <c r="G13" i="146"/>
  <c r="T13" i="41" s="1"/>
  <c r="G14" i="143"/>
  <c r="R14" i="41" s="1"/>
  <c r="F14" i="146"/>
  <c r="S14" i="41" s="1"/>
  <c r="G14" i="146"/>
  <c r="T14" i="41" s="1"/>
  <c r="F15" i="143"/>
  <c r="Q15" i="41" s="1"/>
  <c r="G15" i="143"/>
  <c r="R15" i="41" s="1"/>
  <c r="F15" i="146"/>
  <c r="S15" i="41" s="1"/>
  <c r="G15" i="146"/>
  <c r="T15" i="41" s="1"/>
  <c r="F16" i="143"/>
  <c r="Q16" i="41" s="1"/>
  <c r="G16" i="143"/>
  <c r="R16" i="41" s="1"/>
  <c r="F16" i="146"/>
  <c r="S16" i="41" s="1"/>
  <c r="G16" i="146"/>
  <c r="T16" i="41" s="1"/>
  <c r="F17" i="143"/>
  <c r="Q17" i="41" s="1"/>
  <c r="G17" i="143"/>
  <c r="R17" i="41" s="1"/>
  <c r="F17" i="146"/>
  <c r="S17" i="41" s="1"/>
  <c r="G17" i="146"/>
  <c r="T17" i="41" s="1"/>
  <c r="F18" i="143"/>
  <c r="Q18" i="41" s="1"/>
  <c r="G18" i="143"/>
  <c r="R18" i="41" s="1"/>
  <c r="F18" i="146"/>
  <c r="S18" i="41" s="1"/>
  <c r="G18" i="146"/>
  <c r="T18" i="41" s="1"/>
  <c r="F19" i="143"/>
  <c r="Q19" i="41" s="1"/>
  <c r="G19" i="143"/>
  <c r="R19" i="41" s="1"/>
  <c r="F19" i="146"/>
  <c r="S19" i="41" s="1"/>
  <c r="G19" i="146"/>
  <c r="T19" i="41" s="1"/>
  <c r="F20" i="143"/>
  <c r="Q20" i="41" s="1"/>
  <c r="G20" i="143"/>
  <c r="R20" i="41" s="1"/>
  <c r="F20" i="146"/>
  <c r="S20" i="41" s="1"/>
  <c r="F21" i="143"/>
  <c r="Q21" i="41" s="1"/>
  <c r="G21" i="143"/>
  <c r="R21" i="41" s="1"/>
  <c r="F21" i="146"/>
  <c r="S21" i="41" s="1"/>
  <c r="G21" i="146"/>
  <c r="T21" i="41" s="1"/>
  <c r="F22" i="143"/>
  <c r="Q22" i="41" s="1"/>
  <c r="G22" i="143"/>
  <c r="R22" i="41" s="1"/>
  <c r="F22" i="146"/>
  <c r="S22" i="41" s="1"/>
  <c r="G22" i="146"/>
  <c r="T22" i="41" s="1"/>
  <c r="F23" i="143"/>
  <c r="Q23" i="41" s="1"/>
  <c r="G23" i="143"/>
  <c r="R23" i="41" s="1"/>
  <c r="F23" i="146"/>
  <c r="S23" i="41" s="1"/>
  <c r="G23" i="146"/>
  <c r="T23" i="41" s="1"/>
  <c r="F24" i="143"/>
  <c r="Q24" i="41" s="1"/>
  <c r="G24" i="143"/>
  <c r="R24" i="41" s="1"/>
  <c r="F24" i="146"/>
  <c r="S24" i="41" s="1"/>
  <c r="G24" i="146"/>
  <c r="T24" i="41" s="1"/>
  <c r="F25" i="143"/>
  <c r="Q25" i="41" s="1"/>
  <c r="G25" i="143"/>
  <c r="R25" i="41" s="1"/>
  <c r="F25" i="146"/>
  <c r="S25" i="41" s="1"/>
  <c r="G25" i="146"/>
  <c r="T25" i="41" s="1"/>
  <c r="F26" i="143"/>
  <c r="Q26" i="41" s="1"/>
  <c r="G26" i="143"/>
  <c r="R26" i="41" s="1"/>
  <c r="F26" i="146"/>
  <c r="S26" i="41" s="1"/>
  <c r="G26" i="146"/>
  <c r="T26" i="41" s="1"/>
  <c r="F27" i="143"/>
  <c r="Q27" i="41" s="1"/>
  <c r="G27" i="143"/>
  <c r="R27" i="41" s="1"/>
  <c r="G27" i="146"/>
  <c r="T27" i="41" s="1"/>
  <c r="F28" i="143"/>
  <c r="Q28" i="41" s="1"/>
  <c r="G28" i="143"/>
  <c r="R28" i="41" s="1"/>
  <c r="F28" i="146"/>
  <c r="S28" i="41" s="1"/>
  <c r="G28" i="146"/>
  <c r="T28" i="41" s="1"/>
  <c r="F29" i="143"/>
  <c r="Q29" i="41" s="1"/>
  <c r="G29" i="143"/>
  <c r="R29" i="41" s="1"/>
  <c r="F29" i="146"/>
  <c r="S29" i="41" s="1"/>
  <c r="G29" i="146"/>
  <c r="T29" i="41" s="1"/>
  <c r="G30" i="143"/>
  <c r="R30" i="41" s="1"/>
  <c r="F30" i="146"/>
  <c r="S30" i="41" s="1"/>
  <c r="G30" i="146"/>
  <c r="T30" i="41" s="1"/>
  <c r="F31" i="143"/>
  <c r="Q31" i="41" s="1"/>
  <c r="G31" i="143"/>
  <c r="R31" i="41" s="1"/>
  <c r="F31" i="146"/>
  <c r="S31" i="41" s="1"/>
  <c r="G31" i="146"/>
  <c r="T31" i="41" s="1"/>
  <c r="F32" i="143"/>
  <c r="Q32" i="41" s="1"/>
  <c r="G32" i="143"/>
  <c r="R32" i="41" s="1"/>
  <c r="G32" i="146"/>
  <c r="T32" i="41" s="1"/>
  <c r="F33" i="143"/>
  <c r="Q33" i="41" s="1"/>
  <c r="G33" i="143"/>
  <c r="R33" i="41" s="1"/>
  <c r="F33" i="146"/>
  <c r="S33" i="41" s="1"/>
  <c r="G33" i="146"/>
  <c r="T33" i="41" s="1"/>
  <c r="F34" i="143"/>
  <c r="Q34" i="41" s="1"/>
  <c r="G34" i="143"/>
  <c r="R34" i="41" s="1"/>
  <c r="F34" i="146"/>
  <c r="S34" i="41" s="1"/>
  <c r="G34" i="146"/>
  <c r="T34" i="41" s="1"/>
  <c r="F35" i="143"/>
  <c r="Q35" i="41" s="1"/>
  <c r="G35" i="143"/>
  <c r="R35" i="41" s="1"/>
  <c r="F35" i="146"/>
  <c r="S35" i="41" s="1"/>
  <c r="G35" i="146"/>
  <c r="T35" i="41" s="1"/>
  <c r="F36" i="143"/>
  <c r="Q36" i="41" s="1"/>
  <c r="G36" i="143"/>
  <c r="R36" i="41" s="1"/>
  <c r="F36" i="146"/>
  <c r="S36" i="41" s="1"/>
  <c r="G36" i="146"/>
  <c r="T36" i="41" s="1"/>
  <c r="F37" i="143"/>
  <c r="Q37" i="41" s="1"/>
  <c r="F37" i="146"/>
  <c r="S37" i="41" s="1"/>
  <c r="G37" i="146"/>
  <c r="T37" i="41" s="1"/>
  <c r="F38" i="143"/>
  <c r="Q38" i="41" s="1"/>
  <c r="F38" i="146"/>
  <c r="S38" i="41" s="1"/>
  <c r="G38" i="146"/>
  <c r="T38" i="41" s="1"/>
  <c r="F39" i="143"/>
  <c r="Q39" i="41" s="1"/>
  <c r="G39" i="143"/>
  <c r="R39" i="41" s="1"/>
  <c r="F39" i="146"/>
  <c r="S39" i="41" s="1"/>
  <c r="G39" i="146"/>
  <c r="T39" i="41" s="1"/>
  <c r="F40" i="143"/>
  <c r="Q40" i="41" s="1"/>
  <c r="G40" i="143"/>
  <c r="R40" i="41" s="1"/>
  <c r="F40" i="146"/>
  <c r="S40" i="41" s="1"/>
  <c r="G40" i="146"/>
  <c r="T40" i="41" s="1"/>
  <c r="F41" i="143"/>
  <c r="Q41" i="41" s="1"/>
  <c r="G41" i="143"/>
  <c r="R41" i="41" s="1"/>
  <c r="F41" i="146"/>
  <c r="S41" i="41" s="1"/>
  <c r="G41" i="146"/>
  <c r="T41" i="41" s="1"/>
  <c r="F42" i="143"/>
  <c r="Q42" i="41" s="1"/>
  <c r="G42" i="143"/>
  <c r="R42" i="41" s="1"/>
  <c r="F42" i="146"/>
  <c r="S42" i="41" s="1"/>
  <c r="G42" i="146"/>
  <c r="T42" i="41" s="1"/>
  <c r="F43" i="143"/>
  <c r="Q43" i="41" s="1"/>
  <c r="G43" i="143"/>
  <c r="R43" i="41" s="1"/>
  <c r="G43" i="146"/>
  <c r="T43" i="41" s="1"/>
  <c r="F44" i="143"/>
  <c r="Q44" i="41" s="1"/>
  <c r="G44" i="143"/>
  <c r="R44" i="41" s="1"/>
  <c r="F44" i="146"/>
  <c r="S44" i="41" s="1"/>
  <c r="G44" i="146"/>
  <c r="T44" i="41" s="1"/>
  <c r="F45" i="143"/>
  <c r="Q45" i="41" s="1"/>
  <c r="G45" i="143"/>
  <c r="R45" i="41" s="1"/>
  <c r="F45" i="146"/>
  <c r="S45" i="41" s="1"/>
  <c r="G45" i="146"/>
  <c r="T45" i="41" s="1"/>
  <c r="G46" i="143"/>
  <c r="R46" i="41" s="1"/>
  <c r="F46" i="146"/>
  <c r="S46" i="41" s="1"/>
  <c r="G46" i="146"/>
  <c r="T46" i="41" s="1"/>
  <c r="F47" i="143"/>
  <c r="Q47" i="41" s="1"/>
  <c r="G47" i="143"/>
  <c r="R47" i="41" s="1"/>
  <c r="F47" i="146"/>
  <c r="S47" i="41" s="1"/>
  <c r="G47" i="146"/>
  <c r="T47" i="41" s="1"/>
  <c r="F48" i="143"/>
  <c r="Q48" i="41" s="1"/>
  <c r="G48" i="143"/>
  <c r="R48" i="41" s="1"/>
  <c r="F48" i="146"/>
  <c r="S48" i="41" s="1"/>
  <c r="G48" i="146"/>
  <c r="T48" i="41" s="1"/>
  <c r="F49" i="143"/>
  <c r="Q49" i="41" s="1"/>
  <c r="G49" i="143"/>
  <c r="R49" i="41" s="1"/>
  <c r="F49" i="146"/>
  <c r="S49" i="41" s="1"/>
  <c r="G49" i="146"/>
  <c r="T49" i="41" s="1"/>
  <c r="F50" i="143"/>
  <c r="Q50" i="41" s="1"/>
  <c r="G50" i="143"/>
  <c r="R50" i="41" s="1"/>
  <c r="F50" i="146"/>
  <c r="S50" i="41" s="1"/>
  <c r="G50" i="146"/>
  <c r="T50" i="41" s="1"/>
  <c r="F51" i="143"/>
  <c r="Q51" i="41" s="1"/>
  <c r="G51" i="143"/>
  <c r="R51" i="41" s="1"/>
  <c r="F51" i="146"/>
  <c r="S51" i="41" s="1"/>
  <c r="G51" i="146"/>
  <c r="T51" i="41" s="1"/>
  <c r="F52" i="143"/>
  <c r="Q52" i="41" s="1"/>
  <c r="G52" i="143"/>
  <c r="R52" i="41" s="1"/>
  <c r="F53" i="143"/>
  <c r="Q53" i="41" s="1"/>
  <c r="G53" i="143"/>
  <c r="R53" i="41" s="1"/>
  <c r="F53" i="146"/>
  <c r="S53" i="41" s="1"/>
  <c r="G53" i="146"/>
  <c r="T53" i="41" s="1"/>
  <c r="F54" i="143"/>
  <c r="Q54" i="41" s="1"/>
  <c r="G54" i="143"/>
  <c r="R54" i="41" s="1"/>
  <c r="F54" i="146"/>
  <c r="S54" i="41" s="1"/>
  <c r="G54" i="146"/>
  <c r="T54" i="41" s="1"/>
  <c r="F55" i="143"/>
  <c r="Q55" i="41" s="1"/>
  <c r="G55" i="143"/>
  <c r="R55" i="41" s="1"/>
  <c r="F55" i="146"/>
  <c r="S55" i="41" s="1"/>
  <c r="G55" i="146"/>
  <c r="T55" i="41" s="1"/>
  <c r="F56" i="143"/>
  <c r="Q56" i="41" s="1"/>
  <c r="G56" i="143"/>
  <c r="R56" i="41" s="1"/>
  <c r="F56" i="146"/>
  <c r="S56" i="41" s="1"/>
  <c r="G56" i="146"/>
  <c r="T56" i="41" s="1"/>
  <c r="F57" i="143"/>
  <c r="Q57" i="41" s="1"/>
  <c r="G57" i="143"/>
  <c r="R57" i="41" s="1"/>
  <c r="F57" i="146"/>
  <c r="S57" i="41" s="1"/>
  <c r="G57" i="146"/>
  <c r="T57" i="41" s="1"/>
  <c r="F58" i="143"/>
  <c r="Q58" i="41" s="1"/>
  <c r="G58" i="143"/>
  <c r="R58" i="41" s="1"/>
  <c r="F58" i="146"/>
  <c r="S58" i="41" s="1"/>
  <c r="G58" i="146"/>
  <c r="T58" i="41" s="1"/>
  <c r="F59" i="143"/>
  <c r="Q59" i="41" s="1"/>
  <c r="G59" i="143"/>
  <c r="R59" i="41" s="1"/>
  <c r="F59" i="146"/>
  <c r="S59" i="41" s="1"/>
  <c r="G59" i="146"/>
  <c r="T59" i="41" s="1"/>
  <c r="F60" i="143"/>
  <c r="Q60" i="41" s="1"/>
  <c r="G60" i="143"/>
  <c r="R60" i="41" s="1"/>
  <c r="F60" i="146"/>
  <c r="S60" i="41" s="1"/>
  <c r="G60" i="146"/>
  <c r="T60" i="41" s="1"/>
  <c r="F61" i="143"/>
  <c r="Q61" i="41" s="1"/>
  <c r="G61" i="143"/>
  <c r="R61" i="41" s="1"/>
  <c r="F61" i="146"/>
  <c r="S61" i="41" s="1"/>
  <c r="G61" i="146"/>
  <c r="T61" i="41" s="1"/>
  <c r="F62" i="143"/>
  <c r="Q62" i="41" s="1"/>
  <c r="G62" i="143"/>
  <c r="R62" i="41" s="1"/>
  <c r="F62" i="146"/>
  <c r="S62" i="41" s="1"/>
  <c r="G62" i="146"/>
  <c r="T62" i="41" s="1"/>
  <c r="F63" i="143"/>
  <c r="Q63" i="41" s="1"/>
  <c r="G63" i="143"/>
  <c r="R63" i="41" s="1"/>
  <c r="F63" i="146"/>
  <c r="S63" i="41" s="1"/>
  <c r="G63" i="146"/>
  <c r="T63" i="41" s="1"/>
  <c r="F64" i="143"/>
  <c r="Q64" i="41" s="1"/>
  <c r="G64" i="143"/>
  <c r="R64" i="41" s="1"/>
  <c r="F64" i="146"/>
  <c r="S64" i="41" s="1"/>
  <c r="G64" i="146"/>
  <c r="T64" i="41" s="1"/>
  <c r="C65" i="143"/>
  <c r="B65" i="143"/>
  <c r="B65" i="146"/>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S65" i="83"/>
  <c r="C3" i="141"/>
  <c r="C4" i="141"/>
  <c r="D4" i="141"/>
  <c r="C5" i="141"/>
  <c r="D5" i="141"/>
  <c r="C6" i="141"/>
  <c r="D6" i="141"/>
  <c r="C7" i="141"/>
  <c r="D7" i="141"/>
  <c r="C8" i="141"/>
  <c r="D8" i="141"/>
  <c r="C9" i="141"/>
  <c r="D9" i="141"/>
  <c r="C10" i="141"/>
  <c r="D10" i="141"/>
  <c r="C11" i="141"/>
  <c r="D11" i="141"/>
  <c r="C12" i="141"/>
  <c r="D12" i="141"/>
  <c r="C13" i="141"/>
  <c r="D13" i="141"/>
  <c r="C14" i="141"/>
  <c r="D14" i="141"/>
  <c r="C15" i="141"/>
  <c r="D15" i="141"/>
  <c r="C16" i="141"/>
  <c r="D16" i="141"/>
  <c r="C17" i="141"/>
  <c r="D17" i="141"/>
  <c r="C18" i="141"/>
  <c r="D18" i="141"/>
  <c r="C19" i="141"/>
  <c r="D19" i="141"/>
  <c r="C20" i="141"/>
  <c r="D20" i="141"/>
  <c r="C21" i="141"/>
  <c r="D21" i="141"/>
  <c r="C22" i="141"/>
  <c r="D22" i="141"/>
  <c r="C23" i="141"/>
  <c r="D23" i="141"/>
  <c r="C24" i="141"/>
  <c r="D24" i="141"/>
  <c r="C25" i="141"/>
  <c r="D25" i="141"/>
  <c r="C26" i="141"/>
  <c r="D26" i="141"/>
  <c r="C27" i="141"/>
  <c r="D27" i="141"/>
  <c r="C28" i="141"/>
  <c r="D28" i="141"/>
  <c r="C29" i="141"/>
  <c r="D29" i="141"/>
  <c r="C30" i="141"/>
  <c r="D30" i="141"/>
  <c r="C31" i="141"/>
  <c r="D31" i="141"/>
  <c r="C32" i="141"/>
  <c r="D32" i="141"/>
  <c r="C33" i="141"/>
  <c r="D33" i="141"/>
  <c r="C34" i="141"/>
  <c r="D34" i="141"/>
  <c r="C35" i="141"/>
  <c r="D35" i="141"/>
  <c r="C36" i="141"/>
  <c r="D36" i="141"/>
  <c r="C37" i="141"/>
  <c r="D37" i="141"/>
  <c r="C38" i="141"/>
  <c r="D38" i="141"/>
  <c r="C39" i="141"/>
  <c r="D39" i="141"/>
  <c r="C40" i="141"/>
  <c r="D40" i="141"/>
  <c r="C41" i="141"/>
  <c r="D41" i="141"/>
  <c r="C42" i="141"/>
  <c r="D42" i="141"/>
  <c r="C43" i="141"/>
  <c r="D43" i="141"/>
  <c r="C44" i="141"/>
  <c r="D44" i="141"/>
  <c r="C45" i="141"/>
  <c r="D45" i="141"/>
  <c r="C46" i="141"/>
  <c r="D46" i="141"/>
  <c r="C47" i="141"/>
  <c r="D47" i="141"/>
  <c r="C48" i="141"/>
  <c r="D48" i="141"/>
  <c r="C49" i="141"/>
  <c r="D49" i="141"/>
  <c r="C50" i="141"/>
  <c r="D50" i="141"/>
  <c r="C51" i="141"/>
  <c r="D51" i="141"/>
  <c r="C52" i="141"/>
  <c r="D52" i="141"/>
  <c r="C53" i="141"/>
  <c r="D53" i="141"/>
  <c r="C54" i="141"/>
  <c r="D54" i="141"/>
  <c r="C55" i="141"/>
  <c r="D55" i="141"/>
  <c r="C56" i="141"/>
  <c r="D56" i="141"/>
  <c r="C57" i="141"/>
  <c r="D57" i="141"/>
  <c r="C58" i="141"/>
  <c r="D58" i="141"/>
  <c r="C59" i="141"/>
  <c r="D59" i="141"/>
  <c r="C60" i="141"/>
  <c r="D60" i="141"/>
  <c r="D3" i="141"/>
  <c r="C61"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3" i="141"/>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I3" i="141"/>
  <c r="I39" i="141"/>
  <c r="O39" i="141"/>
  <c r="P39" i="141"/>
  <c r="I21" i="141"/>
  <c r="O21" i="141"/>
  <c r="P21" i="141"/>
  <c r="I17" i="141"/>
  <c r="O17" i="141"/>
  <c r="P17" i="141"/>
  <c r="I38" i="141"/>
  <c r="I32" i="141"/>
  <c r="I40" i="141"/>
  <c r="I47" i="141"/>
  <c r="O47" i="141"/>
  <c r="P47" i="141"/>
  <c r="I58" i="141"/>
  <c r="I35" i="141"/>
  <c r="O35" i="141"/>
  <c r="P35" i="141"/>
  <c r="I36" i="141"/>
  <c r="J43" i="93"/>
  <c r="N43" i="93"/>
  <c r="N51" i="93"/>
  <c r="K44" i="93"/>
  <c r="N42" i="93"/>
  <c r="I9" i="141"/>
  <c r="O9" i="141"/>
  <c r="P9" i="141"/>
  <c r="I26" i="141"/>
  <c r="O26" i="141"/>
  <c r="P26" i="141"/>
  <c r="I14" i="141"/>
  <c r="O14" i="141"/>
  <c r="P14" i="141"/>
  <c r="I42" i="141"/>
  <c r="I52" i="141"/>
  <c r="I15" i="141"/>
  <c r="O15" i="141"/>
  <c r="P15" i="141"/>
  <c r="I6" i="141"/>
  <c r="O6" i="141"/>
  <c r="P6" i="141"/>
  <c r="I29" i="141"/>
  <c r="O29" i="141"/>
  <c r="P29" i="141"/>
  <c r="I44" i="141"/>
  <c r="I33" i="141"/>
  <c r="O33" i="141"/>
  <c r="P33" i="141"/>
  <c r="I46" i="141"/>
  <c r="O46" i="141"/>
  <c r="P46" i="141"/>
  <c r="I60" i="141"/>
  <c r="I22" i="141"/>
  <c r="I54" i="141"/>
  <c r="O54" i="141"/>
  <c r="P54" i="141"/>
  <c r="I11" i="141"/>
  <c r="O11" i="141"/>
  <c r="P11" i="141"/>
  <c r="I56" i="141"/>
  <c r="I45" i="141"/>
  <c r="O45" i="141"/>
  <c r="P45" i="141"/>
  <c r="I31" i="141"/>
  <c r="O31" i="141"/>
  <c r="P31" i="141"/>
  <c r="I23" i="141"/>
  <c r="O23" i="141"/>
  <c r="P23" i="141"/>
  <c r="I53" i="141"/>
  <c r="O53" i="141"/>
  <c r="P53" i="141"/>
  <c r="I43" i="141"/>
  <c r="O43" i="141"/>
  <c r="P43" i="141"/>
  <c r="I59" i="141"/>
  <c r="O59" i="141"/>
  <c r="P59" i="141"/>
  <c r="I30" i="141"/>
  <c r="O30" i="141"/>
  <c r="P30" i="141"/>
  <c r="I25" i="141"/>
  <c r="O25" i="141"/>
  <c r="P25" i="141"/>
  <c r="I12" i="141"/>
  <c r="I50" i="141"/>
  <c r="O50" i="141"/>
  <c r="P50" i="141"/>
  <c r="I18" i="141"/>
  <c r="O18" i="141"/>
  <c r="P18" i="141"/>
  <c r="I51" i="141"/>
  <c r="O51" i="141"/>
  <c r="P51" i="141"/>
  <c r="I41" i="141"/>
  <c r="O41" i="141"/>
  <c r="P41" i="141"/>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I10" i="141"/>
  <c r="O10" i="141"/>
  <c r="P10" i="141"/>
  <c r="I27" i="141"/>
  <c r="O27" i="141"/>
  <c r="P27" i="141"/>
  <c r="I13" i="141"/>
  <c r="O13" i="141"/>
  <c r="P13" i="141"/>
  <c r="I7" i="141"/>
  <c r="O7" i="141"/>
  <c r="P7" i="141"/>
  <c r="I19" i="141"/>
  <c r="O19" i="141"/>
  <c r="P19" i="141"/>
  <c r="I5" i="141"/>
  <c r="O5" i="141"/>
  <c r="P5" i="141"/>
  <c r="I8" i="141"/>
  <c r="O8" i="141"/>
  <c r="P8" i="141"/>
  <c r="I28" i="141"/>
  <c r="O28" i="141"/>
  <c r="P28" i="141"/>
  <c r="I24" i="141"/>
  <c r="O24" i="141"/>
  <c r="P24" i="141"/>
  <c r="I48" i="141"/>
  <c r="O48" i="141"/>
  <c r="P48" i="141"/>
  <c r="I57" i="141"/>
  <c r="O57" i="141"/>
  <c r="P57" i="141"/>
  <c r="I20" i="141"/>
  <c r="O20" i="141"/>
  <c r="P20" i="141"/>
  <c r="I16" i="141"/>
  <c r="O16" i="141"/>
  <c r="P16" i="141"/>
  <c r="I34" i="141"/>
  <c r="O34" i="141"/>
  <c r="P34" i="141"/>
  <c r="I55" i="141"/>
  <c r="O55" i="141"/>
  <c r="P55" i="141"/>
  <c r="I37" i="141"/>
  <c r="O37" i="141"/>
  <c r="P37" i="141"/>
  <c r="I49" i="141"/>
  <c r="O49" i="141"/>
  <c r="P49" i="141"/>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I4" i="141"/>
  <c r="O4" i="141"/>
  <c r="P4" i="141"/>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c r="M13" i="93"/>
  <c r="P13" i="93"/>
  <c r="Q13" i="93"/>
  <c r="R13" i="93"/>
  <c r="H9" i="141"/>
  <c r="M9" i="141"/>
  <c r="N9" i="141"/>
  <c r="J13" i="93"/>
  <c r="N13" i="93"/>
  <c r="K13" i="93"/>
  <c r="K38" i="93"/>
  <c r="O38" i="93"/>
  <c r="K14" i="93"/>
  <c r="O14" i="93"/>
  <c r="M50" i="93"/>
  <c r="P50" i="93"/>
  <c r="Q50" i="93"/>
  <c r="H46" i="141"/>
  <c r="M46" i="141"/>
  <c r="N46" i="14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c r="M48" i="93"/>
  <c r="P48" i="93"/>
  <c r="Q48" i="93"/>
  <c r="J50" i="93"/>
  <c r="N50" i="93"/>
  <c r="O50" i="93"/>
  <c r="K58" i="93"/>
  <c r="J58" i="93"/>
  <c r="N58" i="93"/>
  <c r="O58" i="93"/>
  <c r="K56" i="93"/>
  <c r="J56" i="93"/>
  <c r="N56" i="93"/>
  <c r="O56" i="93"/>
  <c r="M47" i="93"/>
  <c r="P47" i="93"/>
  <c r="Q47" i="93"/>
  <c r="H43" i="141"/>
  <c r="M43" i="141"/>
  <c r="N43" i="14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c r="K51" i="93"/>
  <c r="O51" i="93"/>
  <c r="J44" i="93"/>
  <c r="N44" i="93"/>
  <c r="O44" i="93"/>
  <c r="M44" i="93"/>
  <c r="P44" i="93"/>
  <c r="Q44" i="93"/>
  <c r="M39" i="93"/>
  <c r="P39" i="93"/>
  <c r="Q39" i="93"/>
  <c r="J39" i="93"/>
  <c r="N39" i="93"/>
  <c r="O39" i="93"/>
  <c r="M15" i="93"/>
  <c r="P15" i="93"/>
  <c r="Q15" i="93"/>
  <c r="H11" i="141"/>
  <c r="M11" i="141"/>
  <c r="N11" i="141"/>
  <c r="J15" i="93"/>
  <c r="N15" i="93"/>
  <c r="O15" i="93"/>
  <c r="O36" i="141"/>
  <c r="P36" i="141"/>
  <c r="O40" i="141"/>
  <c r="P40" i="141"/>
  <c r="O12" i="141"/>
  <c r="P12" i="141"/>
  <c r="O22" i="141"/>
  <c r="P22" i="141"/>
  <c r="O44" i="141"/>
  <c r="P44" i="141"/>
  <c r="O52" i="141"/>
  <c r="P52" i="141"/>
  <c r="O32" i="141"/>
  <c r="P32" i="141"/>
  <c r="O56" i="141"/>
  <c r="P56" i="141"/>
  <c r="O60" i="141"/>
  <c r="P60" i="141"/>
  <c r="O42" i="141"/>
  <c r="P42" i="141"/>
  <c r="O58" i="141"/>
  <c r="P58" i="141"/>
  <c r="O38" i="141"/>
  <c r="P38" i="141"/>
  <c r="Q8" i="93"/>
  <c r="H4" i="141"/>
  <c r="M4" i="141"/>
  <c r="N4" i="141"/>
  <c r="S8" i="93"/>
  <c r="T8" i="93"/>
  <c r="Q52" i="93"/>
  <c r="H48" i="141"/>
  <c r="M48" i="141"/>
  <c r="N48" i="141"/>
  <c r="S52" i="93"/>
  <c r="M32" i="141"/>
  <c r="N32" i="141"/>
  <c r="M26" i="141"/>
  <c r="N26" i="14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c r="J44" i="141"/>
  <c r="H44" i="141"/>
  <c r="M44" i="141"/>
  <c r="N44" i="14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c r="J19" i="141"/>
  <c r="H23" i="141"/>
  <c r="M23" i="141"/>
  <c r="N23" i="141"/>
  <c r="J29" i="141"/>
  <c r="J47" i="141"/>
  <c r="J17" i="141"/>
  <c r="J10" i="141"/>
  <c r="J18" i="141"/>
  <c r="H22" i="141"/>
  <c r="M22" i="141"/>
  <c r="N22" i="141"/>
  <c r="J22" i="141"/>
  <c r="H49" i="141"/>
  <c r="M49" i="141"/>
  <c r="N49" i="141"/>
  <c r="J49" i="141"/>
  <c r="H59" i="141"/>
  <c r="M59" i="141"/>
  <c r="N59" i="14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c r="H16" i="141"/>
  <c r="M16" i="141"/>
  <c r="N16" i="141"/>
  <c r="H56" i="141"/>
  <c r="M56" i="141"/>
  <c r="N56" i="141"/>
  <c r="M7" i="93"/>
  <c r="J7" i="93"/>
  <c r="N7" i="93"/>
  <c r="O7" i="93"/>
  <c r="K7" i="93"/>
  <c r="H45" i="141"/>
  <c r="M45" i="141"/>
  <c r="N45" i="141"/>
  <c r="H12" i="141"/>
  <c r="M12" i="141"/>
  <c r="N12" i="141"/>
  <c r="H33" i="141"/>
  <c r="M33" i="141"/>
  <c r="N33" i="141"/>
  <c r="H37" i="141"/>
  <c r="M37" i="141"/>
  <c r="N37" i="141"/>
  <c r="I61"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M3" i="141"/>
  <c r="N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J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O40" i="93"/>
  <c r="O9" i="93"/>
  <c r="O13" i="93"/>
  <c r="O10" i="93"/>
  <c r="O55" i="93"/>
  <c r="O20" i="93"/>
  <c r="M14" i="93"/>
  <c r="P14" i="93"/>
  <c r="D61" i="141"/>
  <c r="O3" i="141"/>
  <c r="J36" i="93"/>
  <c r="N36" i="93"/>
  <c r="O36" i="93"/>
  <c r="M36" i="93"/>
  <c r="P36" i="93"/>
  <c r="K49" i="93"/>
  <c r="O49" i="93"/>
  <c r="J11" i="93"/>
  <c r="N11" i="93"/>
  <c r="O12" i="93"/>
  <c r="K11" i="93"/>
  <c r="O22" i="93"/>
  <c r="G20" i="146"/>
  <c r="T20" i="41" s="1"/>
  <c r="E65" i="146"/>
  <c r="F10" i="143"/>
  <c r="Q10" i="41" s="1"/>
  <c r="D65" i="143"/>
  <c r="F46" i="143"/>
  <c r="Q46" i="41" s="1"/>
  <c r="C65" i="146"/>
  <c r="G38" i="143"/>
  <c r="R38" i="41" s="1"/>
  <c r="E65" i="143"/>
  <c r="F32" i="146"/>
  <c r="S32" i="41" s="1"/>
  <c r="D65" i="146"/>
  <c r="E61" i="141"/>
  <c r="K43" i="93"/>
  <c r="O43" i="93"/>
  <c r="D65" i="145"/>
  <c r="G37" i="143"/>
  <c r="R37" i="41" s="1"/>
  <c r="F30" i="143"/>
  <c r="Q30" i="41" s="1"/>
  <c r="F27" i="146"/>
  <c r="S27" i="41" s="1"/>
  <c r="F14" i="143"/>
  <c r="Q14" i="41" s="1"/>
  <c r="F11" i="146"/>
  <c r="S11" i="41" s="1"/>
  <c r="Q36" i="93"/>
  <c r="R36" i="93"/>
  <c r="S36" i="93"/>
  <c r="T36" i="93"/>
  <c r="Q14" i="93"/>
  <c r="R14" i="93"/>
  <c r="T14" i="93"/>
  <c r="S14" i="93"/>
  <c r="O11" i="93"/>
  <c r="P3" i="141"/>
  <c r="O61" i="141"/>
  <c r="P61" i="141"/>
  <c r="C37" i="72" l="1"/>
  <c r="E39" i="148"/>
  <c r="AA41" i="41" s="1"/>
  <c r="C56" i="72"/>
  <c r="F28" i="41"/>
  <c r="E27" i="72" s="1"/>
  <c r="F27" i="72" s="1"/>
  <c r="F19" i="41"/>
  <c r="F9" i="41"/>
  <c r="Y9" i="41" s="1"/>
  <c r="N34" i="41"/>
  <c r="N59" i="41"/>
  <c r="N22" i="41"/>
  <c r="F42" i="41"/>
  <c r="F34" i="41"/>
  <c r="Y34" i="41" s="1"/>
  <c r="E56" i="148"/>
  <c r="AA58" i="41" s="1"/>
  <c r="F64" i="41"/>
  <c r="E63" i="72" s="1"/>
  <c r="F63" i="72" s="1"/>
  <c r="F17" i="80"/>
  <c r="F55" i="41"/>
  <c r="Y55" i="41" s="1"/>
  <c r="F32" i="41"/>
  <c r="E31" i="72" s="1"/>
  <c r="F31" i="72" s="1"/>
  <c r="E30" i="148"/>
  <c r="AA32" i="41" s="1"/>
  <c r="E9" i="148"/>
  <c r="AA11" i="41" s="1"/>
  <c r="F63" i="80"/>
  <c r="C18" i="72"/>
  <c r="F54" i="41"/>
  <c r="E53" i="72" s="1"/>
  <c r="F53" i="72" s="1"/>
  <c r="N16" i="41"/>
  <c r="N14" i="41"/>
  <c r="C16" i="72"/>
  <c r="N30" i="41"/>
  <c r="F36" i="41"/>
  <c r="E35" i="72" s="1"/>
  <c r="F35" i="72" s="1"/>
  <c r="F20" i="41"/>
  <c r="Y20" i="41" s="1"/>
  <c r="F38" i="41"/>
  <c r="Y38" i="41" s="1"/>
  <c r="F31" i="41"/>
  <c r="E30" i="72" s="1"/>
  <c r="F30" i="72" s="1"/>
  <c r="E29" i="148"/>
  <c r="AA31" i="41" s="1"/>
  <c r="C41" i="72"/>
  <c r="E48" i="148"/>
  <c r="AA50" i="41" s="1"/>
  <c r="E28" i="148"/>
  <c r="AA30" i="41" s="1"/>
  <c r="E8" i="148"/>
  <c r="AA10" i="41" s="1"/>
  <c r="F51" i="80"/>
  <c r="F21" i="80"/>
  <c r="C44" i="72"/>
  <c r="E37" i="148"/>
  <c r="AA39" i="41" s="1"/>
  <c r="E36" i="148"/>
  <c r="AA38" i="41" s="1"/>
  <c r="E16" i="148"/>
  <c r="AA18" i="41" s="1"/>
  <c r="F65" i="143"/>
  <c r="E12" i="148"/>
  <c r="AA14" i="41" s="1"/>
  <c r="F58" i="41"/>
  <c r="Y58" i="41" s="1"/>
  <c r="F52" i="41"/>
  <c r="E51" i="72" s="1"/>
  <c r="F51" i="72" s="1"/>
  <c r="F51" i="41"/>
  <c r="E50" i="72" s="1"/>
  <c r="F50" i="72" s="1"/>
  <c r="F48" i="41"/>
  <c r="E47" i="72" s="1"/>
  <c r="F47" i="72" s="1"/>
  <c r="F35" i="41"/>
  <c r="Y35" i="41" s="1"/>
  <c r="E10" i="148"/>
  <c r="AA12" i="41" s="1"/>
  <c r="N15" i="41"/>
  <c r="E47" i="148"/>
  <c r="AA49" i="41" s="1"/>
  <c r="E7" i="148"/>
  <c r="AA9" i="41" s="1"/>
  <c r="E46" i="148"/>
  <c r="AA48" i="41" s="1"/>
  <c r="E26" i="148"/>
  <c r="AA28" i="41" s="1"/>
  <c r="E5" i="148"/>
  <c r="AA7" i="41" s="1"/>
  <c r="F60" i="41"/>
  <c r="E59" i="72" s="1"/>
  <c r="F59" i="72" s="1"/>
  <c r="F39" i="41"/>
  <c r="Y39" i="41" s="1"/>
  <c r="F44" i="41"/>
  <c r="E43" i="72" s="1"/>
  <c r="F43" i="72" s="1"/>
  <c r="F25" i="41"/>
  <c r="E24" i="72" s="1"/>
  <c r="F24" i="72" s="1"/>
  <c r="F18" i="41"/>
  <c r="Y18" i="41" s="1"/>
  <c r="F43" i="41"/>
  <c r="E42" i="72" s="1"/>
  <c r="F42" i="72" s="1"/>
  <c r="F62" i="41"/>
  <c r="E61" i="72" s="1"/>
  <c r="F61" i="72" s="1"/>
  <c r="F29" i="41"/>
  <c r="Y29" i="41" s="1"/>
  <c r="F22" i="41"/>
  <c r="E21" i="72" s="1"/>
  <c r="F21" i="72" s="1"/>
  <c r="F15" i="41"/>
  <c r="Y15" i="41" s="1"/>
  <c r="Y19" i="41"/>
  <c r="E18" i="72"/>
  <c r="F18" i="72" s="1"/>
  <c r="F56" i="41"/>
  <c r="Y56" i="41" s="1"/>
  <c r="C24" i="72"/>
  <c r="E44" i="148"/>
  <c r="AA46" i="41" s="1"/>
  <c r="E24" i="148"/>
  <c r="AA26" i="41" s="1"/>
  <c r="E62" i="148"/>
  <c r="AA64" i="41" s="1"/>
  <c r="E42" i="148"/>
  <c r="AA44" i="41" s="1"/>
  <c r="E22" i="148"/>
  <c r="AA24" i="41" s="1"/>
  <c r="E61" i="148"/>
  <c r="AA63" i="41" s="1"/>
  <c r="E41" i="148"/>
  <c r="AA43" i="41" s="1"/>
  <c r="E21" i="148"/>
  <c r="AA23" i="41" s="1"/>
  <c r="F24" i="41"/>
  <c r="E23" i="72" s="1"/>
  <c r="F23" i="72" s="1"/>
  <c r="E58" i="148"/>
  <c r="AA60" i="41" s="1"/>
  <c r="E38" i="148"/>
  <c r="AA40" i="41" s="1"/>
  <c r="E18" i="148"/>
  <c r="AA20" i="41" s="1"/>
  <c r="F29" i="80"/>
  <c r="N7" i="41"/>
  <c r="F40" i="41"/>
  <c r="E39" i="72" s="1"/>
  <c r="F39" i="72" s="1"/>
  <c r="E55" i="148"/>
  <c r="AA57" i="41" s="1"/>
  <c r="E35" i="148"/>
  <c r="AA37" i="41" s="1"/>
  <c r="E15" i="148"/>
  <c r="AA17" i="41" s="1"/>
  <c r="F16" i="41"/>
  <c r="Y16" i="41" s="1"/>
  <c r="F7" i="80"/>
  <c r="E34" i="148"/>
  <c r="AA36" i="41" s="1"/>
  <c r="E14" i="148"/>
  <c r="AA16" i="41" s="1"/>
  <c r="F45" i="80"/>
  <c r="F15" i="80"/>
  <c r="F44" i="80"/>
  <c r="F24" i="80"/>
  <c r="E45" i="148"/>
  <c r="AA47" i="41" s="1"/>
  <c r="E25" i="148"/>
  <c r="AA27" i="41" s="1"/>
  <c r="L42" i="41"/>
  <c r="E20" i="148"/>
  <c r="AA22" i="41" s="1"/>
  <c r="E59" i="148"/>
  <c r="AA61" i="41" s="1"/>
  <c r="E19" i="148"/>
  <c r="AA21" i="41" s="1"/>
  <c r="E32" i="148"/>
  <c r="AA34" i="41" s="1"/>
  <c r="D63" i="148"/>
  <c r="F65" i="146"/>
  <c r="F32" i="80"/>
  <c r="F60" i="80"/>
  <c r="F20" i="80"/>
  <c r="F49" i="80"/>
  <c r="F58" i="80"/>
  <c r="F47" i="80"/>
  <c r="F27" i="80"/>
  <c r="F26" i="80"/>
  <c r="F16" i="80"/>
  <c r="F34" i="80"/>
  <c r="F13" i="80"/>
  <c r="F59" i="41"/>
  <c r="Y59" i="41" s="1"/>
  <c r="F7" i="41"/>
  <c r="Y7" i="41" s="1"/>
  <c r="Y28" i="41"/>
  <c r="F53" i="41"/>
  <c r="E52" i="72" s="1"/>
  <c r="F52" i="72" s="1"/>
  <c r="F30" i="41"/>
  <c r="E29" i="72" s="1"/>
  <c r="F29" i="72" s="1"/>
  <c r="F47" i="41"/>
  <c r="E46" i="72" s="1"/>
  <c r="F46" i="72" s="1"/>
  <c r="F12" i="41"/>
  <c r="Y12" i="41" s="1"/>
  <c r="F46" i="41"/>
  <c r="Y46" i="41" s="1"/>
  <c r="F23" i="41"/>
  <c r="E22" i="72" s="1"/>
  <c r="F22" i="72" s="1"/>
  <c r="D65" i="41"/>
  <c r="F63" i="41"/>
  <c r="E62" i="72" s="1"/>
  <c r="F62" i="72" s="1"/>
  <c r="F45" i="41"/>
  <c r="Y45" i="41" s="1"/>
  <c r="E65" i="41"/>
  <c r="F33" i="41"/>
  <c r="Y33" i="41" s="1"/>
  <c r="F61" i="41"/>
  <c r="Y61" i="41" s="1"/>
  <c r="F50" i="41"/>
  <c r="Y50" i="41" s="1"/>
  <c r="F27" i="41"/>
  <c r="E26" i="72" s="1"/>
  <c r="F26" i="72" s="1"/>
  <c r="F49" i="41"/>
  <c r="Y49" i="41" s="1"/>
  <c r="F14" i="41"/>
  <c r="E13" i="72" s="1"/>
  <c r="F13" i="72" s="1"/>
  <c r="F50" i="80"/>
  <c r="F57" i="80"/>
  <c r="G65" i="146"/>
  <c r="F53" i="80"/>
  <c r="F52" i="80"/>
  <c r="F43" i="80"/>
  <c r="F41" i="41"/>
  <c r="Y41" i="41" s="1"/>
  <c r="F21" i="41"/>
  <c r="E20" i="72" s="1"/>
  <c r="F20" i="72" s="1"/>
  <c r="F11" i="41"/>
  <c r="E10" i="72" s="1"/>
  <c r="F10" i="72" s="1"/>
  <c r="F10" i="41"/>
  <c r="Y10" i="41" s="1"/>
  <c r="F8" i="41"/>
  <c r="E7" i="72" s="1"/>
  <c r="F7" i="72" s="1"/>
  <c r="F13" i="41"/>
  <c r="E12" i="72" s="1"/>
  <c r="F12" i="72" s="1"/>
  <c r="F57" i="41"/>
  <c r="Y57" i="41" s="1"/>
  <c r="F37" i="41"/>
  <c r="E36" i="72" s="1"/>
  <c r="F36" i="72" s="1"/>
  <c r="Y42" i="41"/>
  <c r="E41" i="72"/>
  <c r="F41" i="72" s="1"/>
  <c r="Y26" i="41"/>
  <c r="E25" i="72"/>
  <c r="F25" i="72" s="1"/>
  <c r="E8" i="72"/>
  <c r="F8" i="72" s="1"/>
  <c r="F17" i="41"/>
  <c r="L41" i="41"/>
  <c r="L22" i="41"/>
  <c r="L48" i="41"/>
  <c r="G65" i="143"/>
  <c r="F48" i="80"/>
  <c r="C64" i="80"/>
  <c r="F56" i="80"/>
  <c r="F28" i="80"/>
  <c r="F9" i="80"/>
  <c r="F18" i="80"/>
  <c r="F61" i="80"/>
  <c r="F41" i="80"/>
  <c r="F59" i="80"/>
  <c r="F31" i="80"/>
  <c r="F22" i="80"/>
  <c r="F40" i="80"/>
  <c r="F46" i="80"/>
  <c r="F54" i="80"/>
  <c r="F62" i="80"/>
  <c r="F14" i="80"/>
  <c r="F23" i="80"/>
  <c r="F12" i="80"/>
  <c r="F35" i="80"/>
  <c r="F19" i="80"/>
  <c r="F10" i="80"/>
  <c r="F42" i="80"/>
  <c r="F33" i="80"/>
  <c r="F25" i="80"/>
  <c r="F8" i="80"/>
  <c r="F55" i="80"/>
  <c r="F39" i="80"/>
  <c r="F30" i="80"/>
  <c r="F38" i="80"/>
  <c r="F37" i="80"/>
  <c r="F36" i="80"/>
  <c r="F11" i="80"/>
  <c r="D64" i="80"/>
  <c r="F6" i="80"/>
  <c r="K25" i="41"/>
  <c r="L25" i="41" s="1"/>
  <c r="K34" i="41"/>
  <c r="L34" i="41" s="1"/>
  <c r="K39" i="41"/>
  <c r="L39" i="41" s="1"/>
  <c r="K15" i="41"/>
  <c r="K57" i="41"/>
  <c r="L57" i="41" s="1"/>
  <c r="K27" i="41"/>
  <c r="L27" i="41" s="1"/>
  <c r="K19" i="41"/>
  <c r="L19" i="41" s="1"/>
  <c r="K40" i="41"/>
  <c r="L40" i="41" s="1"/>
  <c r="K47" i="41"/>
  <c r="L47" i="41" s="1"/>
  <c r="K62" i="41"/>
  <c r="L62" i="41" s="1"/>
  <c r="K21" i="41"/>
  <c r="L21" i="41" s="1"/>
  <c r="K14" i="41"/>
  <c r="L14" i="41" s="1"/>
  <c r="K33" i="41"/>
  <c r="L33" i="41" s="1"/>
  <c r="K56" i="41"/>
  <c r="L56" i="41" s="1"/>
  <c r="K46" i="41"/>
  <c r="L46" i="41" s="1"/>
  <c r="K26" i="41"/>
  <c r="L26" i="41" s="1"/>
  <c r="K61" i="41"/>
  <c r="L61" i="41" s="1"/>
  <c r="K20" i="41"/>
  <c r="L20" i="41" s="1"/>
  <c r="K13" i="41"/>
  <c r="L13" i="41" s="1"/>
  <c r="K32" i="41"/>
  <c r="L32" i="41" s="1"/>
  <c r="K55" i="41"/>
  <c r="L55" i="41" s="1"/>
  <c r="K12" i="41"/>
  <c r="L12" i="41" s="1"/>
  <c r="K45" i="41"/>
  <c r="L45" i="41" s="1"/>
  <c r="K60" i="41"/>
  <c r="L60" i="41" s="1"/>
  <c r="K8" i="41"/>
  <c r="L8" i="41" s="1"/>
  <c r="K38" i="41"/>
  <c r="L38" i="41" s="1"/>
  <c r="K51" i="41"/>
  <c r="L51" i="41" s="1"/>
  <c r="K31" i="41"/>
  <c r="L31" i="41" s="1"/>
  <c r="K54" i="41"/>
  <c r="L54" i="41" s="1"/>
  <c r="K11" i="41"/>
  <c r="L11" i="41" s="1"/>
  <c r="K44" i="41"/>
  <c r="L44" i="41" s="1"/>
  <c r="K24" i="41"/>
  <c r="L24" i="41" s="1"/>
  <c r="K59" i="41"/>
  <c r="L59" i="41" s="1"/>
  <c r="K7" i="41"/>
  <c r="K18" i="41"/>
  <c r="L18" i="41" s="1"/>
  <c r="K37" i="41"/>
  <c r="L37" i="41" s="1"/>
  <c r="K50" i="41"/>
  <c r="L50" i="41" s="1"/>
  <c r="K30" i="41"/>
  <c r="K53" i="41"/>
  <c r="L53" i="41" s="1"/>
  <c r="K52" i="41"/>
  <c r="L52" i="41" s="1"/>
  <c r="K10" i="41"/>
  <c r="L10" i="41" s="1"/>
  <c r="K43" i="41"/>
  <c r="L43" i="41" s="1"/>
  <c r="K23" i="41"/>
  <c r="L23" i="41" s="1"/>
  <c r="K17" i="41"/>
  <c r="L17" i="41" s="1"/>
  <c r="K36" i="41"/>
  <c r="L36" i="41" s="1"/>
  <c r="K49" i="41"/>
  <c r="L49" i="41" s="1"/>
  <c r="K29" i="41"/>
  <c r="L29" i="41" s="1"/>
  <c r="K64" i="41"/>
  <c r="L64" i="41" s="1"/>
  <c r="K9" i="41"/>
  <c r="L9" i="41" s="1"/>
  <c r="K16" i="41"/>
  <c r="L16" i="41" s="1"/>
  <c r="K35" i="41"/>
  <c r="L35" i="41" s="1"/>
  <c r="K58" i="41"/>
  <c r="L58" i="41" s="1"/>
  <c r="K28" i="41"/>
  <c r="L28" i="41" s="1"/>
  <c r="K63" i="41"/>
  <c r="L63" i="41" s="1"/>
  <c r="E43" i="148"/>
  <c r="AA45" i="41" s="1"/>
  <c r="E23" i="148"/>
  <c r="AA25" i="41" s="1"/>
  <c r="E60" i="148"/>
  <c r="AA62" i="41" s="1"/>
  <c r="E40" i="148"/>
  <c r="AA42" i="41" s="1"/>
  <c r="E54" i="148"/>
  <c r="AA56" i="41" s="1"/>
  <c r="E52" i="148"/>
  <c r="AA54" i="41" s="1"/>
  <c r="E33" i="148"/>
  <c r="AA35" i="41" s="1"/>
  <c r="E51" i="148"/>
  <c r="AA53" i="41" s="1"/>
  <c r="E31" i="148"/>
  <c r="AA33" i="41" s="1"/>
  <c r="E11" i="148"/>
  <c r="AA13" i="41" s="1"/>
  <c r="E53" i="148"/>
  <c r="AA55" i="41" s="1"/>
  <c r="E13" i="148"/>
  <c r="AA15" i="41" s="1"/>
  <c r="C63" i="148"/>
  <c r="E37" i="72" l="1"/>
  <c r="F37" i="72" s="1"/>
  <c r="Y31" i="41"/>
  <c r="E28" i="72"/>
  <c r="F28" i="72" s="1"/>
  <c r="E19" i="72"/>
  <c r="F19" i="72" s="1"/>
  <c r="Y36" i="41"/>
  <c r="Y47" i="41"/>
  <c r="Y32" i="41"/>
  <c r="E33" i="72"/>
  <c r="F33" i="72" s="1"/>
  <c r="Y54" i="41"/>
  <c r="L30" i="41"/>
  <c r="Y64" i="41"/>
  <c r="E54" i="72"/>
  <c r="F54" i="72" s="1"/>
  <c r="Y23" i="41"/>
  <c r="E15" i="72"/>
  <c r="F15" i="72" s="1"/>
  <c r="Y22" i="41"/>
  <c r="E57" i="72"/>
  <c r="F57" i="72" s="1"/>
  <c r="Y43" i="41"/>
  <c r="E34" i="72"/>
  <c r="F34" i="72" s="1"/>
  <c r="Y51" i="41"/>
  <c r="Y52" i="41"/>
  <c r="E56" i="72"/>
  <c r="F56" i="72" s="1"/>
  <c r="Y53" i="41"/>
  <c r="Y48" i="41"/>
  <c r="E38" i="72"/>
  <c r="F38" i="72" s="1"/>
  <c r="E60" i="72"/>
  <c r="F60" i="72" s="1"/>
  <c r="Y30" i="41"/>
  <c r="Y25" i="41"/>
  <c r="Y60" i="41"/>
  <c r="E17" i="72"/>
  <c r="F17" i="72" s="1"/>
  <c r="E14" i="72"/>
  <c r="F14" i="72" s="1"/>
  <c r="Y37" i="41"/>
  <c r="Y44" i="41"/>
  <c r="E58" i="72"/>
  <c r="F58" i="72" s="1"/>
  <c r="L15" i="41"/>
  <c r="L7" i="41"/>
  <c r="E48" i="72"/>
  <c r="F48" i="72" s="1"/>
  <c r="Y27" i="41"/>
  <c r="E55" i="72"/>
  <c r="F55" i="72" s="1"/>
  <c r="Y63" i="41"/>
  <c r="E9" i="72"/>
  <c r="F9" i="72" s="1"/>
  <c r="Y62" i="41"/>
  <c r="F65" i="41"/>
  <c r="E49" i="72"/>
  <c r="F49" i="72" s="1"/>
  <c r="Y13" i="41"/>
  <c r="E40" i="72"/>
  <c r="F40" i="72" s="1"/>
  <c r="Y11" i="41"/>
  <c r="Y40" i="41"/>
  <c r="Y24" i="41"/>
  <c r="E11" i="72"/>
  <c r="F11" i="72" s="1"/>
  <c r="Y8" i="41"/>
  <c r="E63" i="148"/>
  <c r="AA65" i="41"/>
  <c r="E45" i="72"/>
  <c r="F45" i="72" s="1"/>
  <c r="Y14" i="41"/>
  <c r="Y21" i="41"/>
  <c r="E32" i="72"/>
  <c r="F32" i="72" s="1"/>
  <c r="E44" i="72"/>
  <c r="F44" i="72" s="1"/>
  <c r="E6" i="72"/>
  <c r="F6" i="72" s="1"/>
  <c r="F64" i="80"/>
  <c r="Y17" i="41"/>
  <c r="E16" i="72"/>
  <c r="F16" i="72" s="1"/>
  <c r="F66" i="80"/>
  <c r="D11" i="72" s="1"/>
  <c r="L65" i="41" l="1"/>
  <c r="H27" i="41"/>
  <c r="D48" i="72"/>
  <c r="I49" i="41" s="1"/>
  <c r="H40" i="41"/>
  <c r="D34" i="72"/>
  <c r="I35" i="41" s="1"/>
  <c r="D25" i="72"/>
  <c r="I26" i="41" s="1"/>
  <c r="H51" i="41"/>
  <c r="H43" i="41"/>
  <c r="H57" i="41"/>
  <c r="H30" i="41"/>
  <c r="H23" i="41"/>
  <c r="H7" i="41"/>
  <c r="D13" i="72"/>
  <c r="I14" i="41" s="1"/>
  <c r="D38" i="72"/>
  <c r="I39" i="41" s="1"/>
  <c r="H42" i="41"/>
  <c r="H35" i="41"/>
  <c r="H61" i="41"/>
  <c r="D63" i="72"/>
  <c r="I64" i="41" s="1"/>
  <c r="D28" i="72"/>
  <c r="I29" i="41" s="1"/>
  <c r="D18" i="72"/>
  <c r="I19" i="41" s="1"/>
  <c r="D6" i="72"/>
  <c r="I7" i="41" s="1"/>
  <c r="D33" i="72"/>
  <c r="I34" i="41" s="1"/>
  <c r="D44" i="72"/>
  <c r="I45" i="41" s="1"/>
  <c r="H25" i="41"/>
  <c r="H14" i="41"/>
  <c r="D53" i="72"/>
  <c r="I54" i="41" s="1"/>
  <c r="D43" i="72"/>
  <c r="I44" i="41" s="1"/>
  <c r="D23" i="72"/>
  <c r="I24" i="41" s="1"/>
  <c r="H47" i="41"/>
  <c r="H45" i="41"/>
  <c r="D59" i="72"/>
  <c r="I60" i="41" s="1"/>
  <c r="D49" i="72"/>
  <c r="I50" i="41" s="1"/>
  <c r="D54" i="72"/>
  <c r="I55" i="41" s="1"/>
  <c r="D4" i="72"/>
  <c r="D39" i="72"/>
  <c r="I40" i="41" s="1"/>
  <c r="D19" i="72"/>
  <c r="K19" i="72" s="1"/>
  <c r="H9" i="41"/>
  <c r="H50" i="41"/>
  <c r="H58" i="41"/>
  <c r="H29" i="41"/>
  <c r="D62" i="72"/>
  <c r="I63" i="41" s="1"/>
  <c r="H46" i="41"/>
  <c r="D52" i="72"/>
  <c r="D57" i="72"/>
  <c r="D47" i="72"/>
  <c r="I48" i="41" s="1"/>
  <c r="D37" i="72"/>
  <c r="K37" i="72" s="1"/>
  <c r="D27" i="72"/>
  <c r="I28" i="41" s="1"/>
  <c r="D17" i="72"/>
  <c r="I18" i="41" s="1"/>
  <c r="H54" i="41"/>
  <c r="D42" i="72"/>
  <c r="I43" i="41" s="1"/>
  <c r="H17" i="41"/>
  <c r="H38" i="41"/>
  <c r="H12" i="41"/>
  <c r="H60" i="41"/>
  <c r="D56" i="72"/>
  <c r="I57" i="41" s="1"/>
  <c r="D40" i="72"/>
  <c r="I41" i="41" s="1"/>
  <c r="D30" i="72"/>
  <c r="I31" i="41" s="1"/>
  <c r="D36" i="72"/>
  <c r="I37" i="41" s="1"/>
  <c r="H64" i="41"/>
  <c r="D26" i="72"/>
  <c r="I27" i="41" s="1"/>
  <c r="H55" i="41"/>
  <c r="D24" i="72"/>
  <c r="I25" i="41" s="1"/>
  <c r="D22" i="72"/>
  <c r="I23" i="41" s="1"/>
  <c r="D16" i="72"/>
  <c r="K16" i="72" s="1"/>
  <c r="H16" i="41"/>
  <c r="D50" i="72"/>
  <c r="I51" i="41" s="1"/>
  <c r="H37" i="41"/>
  <c r="H10" i="41"/>
  <c r="H15" i="41"/>
  <c r="H22" i="41"/>
  <c r="H31" i="41"/>
  <c r="H59" i="41"/>
  <c r="H49" i="41"/>
  <c r="H32" i="41"/>
  <c r="D12" i="72"/>
  <c r="I13" i="41" s="1"/>
  <c r="D46" i="72"/>
  <c r="I47" i="41" s="1"/>
  <c r="D20" i="72"/>
  <c r="I21" i="41" s="1"/>
  <c r="H36" i="41"/>
  <c r="D7" i="72"/>
  <c r="K7" i="72" s="1"/>
  <c r="H56" i="41"/>
  <c r="D55" i="72"/>
  <c r="I56" i="41" s="1"/>
  <c r="H39" i="41"/>
  <c r="H41" i="41"/>
  <c r="D32" i="72"/>
  <c r="I33" i="41" s="1"/>
  <c r="D14" i="72"/>
  <c r="I15" i="41" s="1"/>
  <c r="H62" i="41"/>
  <c r="D10" i="72"/>
  <c r="I11" i="41" s="1"/>
  <c r="H53" i="41"/>
  <c r="H24" i="41"/>
  <c r="H20" i="41"/>
  <c r="H48" i="41"/>
  <c r="H44" i="41"/>
  <c r="D45" i="72"/>
  <c r="I46" i="41" s="1"/>
  <c r="Y65" i="41"/>
  <c r="H8" i="41"/>
  <c r="D8" i="72"/>
  <c r="K8" i="72" s="1"/>
  <c r="H18" i="41"/>
  <c r="D61" i="72"/>
  <c r="I62" i="41" s="1"/>
  <c r="D29" i="72"/>
  <c r="I30" i="41" s="1"/>
  <c r="D35" i="72"/>
  <c r="I36" i="41" s="1"/>
  <c r="D51" i="72"/>
  <c r="I52" i="41" s="1"/>
  <c r="D41" i="72"/>
  <c r="I42" i="41" s="1"/>
  <c r="D9" i="72"/>
  <c r="I10" i="41" s="1"/>
  <c r="D15" i="72"/>
  <c r="I16" i="41" s="1"/>
  <c r="D31" i="72"/>
  <c r="K31" i="72" s="1"/>
  <c r="H28" i="41"/>
  <c r="H63" i="41"/>
  <c r="H11" i="41"/>
  <c r="H13" i="41"/>
  <c r="H34" i="41"/>
  <c r="H19" i="41"/>
  <c r="H21" i="41"/>
  <c r="D60" i="72"/>
  <c r="I61" i="41" s="1"/>
  <c r="H33" i="41"/>
  <c r="H52" i="41"/>
  <c r="H26" i="41"/>
  <c r="D58" i="72"/>
  <c r="K58" i="72" s="1"/>
  <c r="D21" i="72"/>
  <c r="I22" i="41" s="1"/>
  <c r="K50" i="72"/>
  <c r="K62" i="72"/>
  <c r="K48" i="72"/>
  <c r="K56" i="72"/>
  <c r="I53" i="41"/>
  <c r="K52" i="72"/>
  <c r="K38" i="72"/>
  <c r="K20" i="72"/>
  <c r="K46" i="72"/>
  <c r="K42" i="72"/>
  <c r="K28" i="72"/>
  <c r="K36" i="72"/>
  <c r="K32" i="72"/>
  <c r="K18" i="72"/>
  <c r="K26" i="72"/>
  <c r="K22" i="72"/>
  <c r="K6" i="72"/>
  <c r="K12" i="72"/>
  <c r="K63" i="72"/>
  <c r="I58" i="41"/>
  <c r="K57" i="72"/>
  <c r="K53" i="72"/>
  <c r="K47" i="72"/>
  <c r="K43" i="72"/>
  <c r="K54" i="72"/>
  <c r="K33" i="72"/>
  <c r="K59" i="72"/>
  <c r="K44" i="72"/>
  <c r="K49" i="72"/>
  <c r="K55" i="72"/>
  <c r="K34" i="72"/>
  <c r="K17" i="72"/>
  <c r="K39" i="72"/>
  <c r="K45" i="72"/>
  <c r="K61" i="72"/>
  <c r="K24" i="72"/>
  <c r="K29" i="72"/>
  <c r="K35" i="72"/>
  <c r="K14" i="72"/>
  <c r="K25" i="72"/>
  <c r="K41" i="72"/>
  <c r="K9" i="72"/>
  <c r="K15" i="72"/>
  <c r="K21" i="72"/>
  <c r="I12" i="41"/>
  <c r="K11" i="72"/>
  <c r="K27" i="72" l="1"/>
  <c r="K13" i="72"/>
  <c r="I32" i="41"/>
  <c r="I9" i="41"/>
  <c r="I59" i="41"/>
  <c r="I20" i="41"/>
  <c r="I38" i="41"/>
  <c r="I8" i="41"/>
  <c r="K60" i="72"/>
  <c r="K23" i="72"/>
  <c r="K10" i="72"/>
  <c r="K40" i="72"/>
  <c r="K30" i="72"/>
  <c r="I17" i="41"/>
  <c r="K51" i="72"/>
  <c r="K64" i="72" s="1"/>
  <c r="D67" i="72" s="1"/>
  <c r="G27" i="72" s="1"/>
  <c r="H66" i="72" l="1"/>
  <c r="G62" i="72"/>
  <c r="H62" i="72" s="1"/>
  <c r="G9" i="72"/>
  <c r="H9" i="72" s="1"/>
  <c r="G13" i="72"/>
  <c r="H13" i="72" s="1"/>
  <c r="G49" i="72"/>
  <c r="H49" i="72" s="1"/>
  <c r="G34" i="72"/>
  <c r="H34" i="72" s="1"/>
  <c r="G35" i="72"/>
  <c r="H35" i="72" s="1"/>
  <c r="G4" i="72"/>
  <c r="G20" i="72"/>
  <c r="H20" i="72" s="1"/>
  <c r="G26" i="72"/>
  <c r="H26" i="72" s="1"/>
  <c r="G54" i="72"/>
  <c r="H54" i="72" s="1"/>
  <c r="G24" i="72"/>
  <c r="H24" i="72" s="1"/>
  <c r="G39" i="72"/>
  <c r="H39" i="72" s="1"/>
  <c r="G44" i="72"/>
  <c r="H44" i="72" s="1"/>
  <c r="G38" i="72"/>
  <c r="H38" i="72" s="1"/>
  <c r="G8" i="72"/>
  <c r="H8" i="72" s="1"/>
  <c r="G29" i="72"/>
  <c r="H29" i="72" s="1"/>
  <c r="G36" i="72"/>
  <c r="H36" i="72" s="1"/>
  <c r="G60" i="72"/>
  <c r="H60" i="72" s="1"/>
  <c r="G56" i="72"/>
  <c r="H56" i="72" s="1"/>
  <c r="G10" i="72"/>
  <c r="H10" i="72" s="1"/>
  <c r="G47" i="72"/>
  <c r="H47" i="72" s="1"/>
  <c r="G28" i="72"/>
  <c r="H28" i="72" s="1"/>
  <c r="G12" i="72"/>
  <c r="H12" i="72" s="1"/>
  <c r="G63" i="72"/>
  <c r="H63" i="72" s="1"/>
  <c r="G48" i="72"/>
  <c r="H48" i="72" s="1"/>
  <c r="G51" i="72" l="1"/>
  <c r="H51" i="72" s="1"/>
  <c r="U52" i="41" s="1"/>
  <c r="G61" i="72"/>
  <c r="H61" i="72" s="1"/>
  <c r="J62" i="41" s="1"/>
  <c r="O62" i="41" s="1"/>
  <c r="G19" i="72"/>
  <c r="H19" i="72" s="1"/>
  <c r="J20" i="41" s="1"/>
  <c r="O20" i="41" s="1"/>
  <c r="G30" i="72"/>
  <c r="H30" i="72" s="1"/>
  <c r="J31" i="41" s="1"/>
  <c r="O31" i="41" s="1"/>
  <c r="G46" i="72"/>
  <c r="H46" i="72" s="1"/>
  <c r="V47" i="41" s="1"/>
  <c r="G6" i="72"/>
  <c r="H6" i="72" s="1"/>
  <c r="V7" i="41" s="1"/>
  <c r="G43" i="72"/>
  <c r="H43" i="72" s="1"/>
  <c r="J44" i="41" s="1"/>
  <c r="O44" i="41" s="1"/>
  <c r="G18" i="72"/>
  <c r="H18" i="72" s="1"/>
  <c r="J19" i="41" s="1"/>
  <c r="O19" i="41" s="1"/>
  <c r="G58" i="72"/>
  <c r="H58" i="72" s="1"/>
  <c r="V59" i="41" s="1"/>
  <c r="G32" i="72"/>
  <c r="H32" i="72" s="1"/>
  <c r="U33" i="41" s="1"/>
  <c r="G50" i="72"/>
  <c r="H50" i="72" s="1"/>
  <c r="U51" i="41" s="1"/>
  <c r="G53" i="72"/>
  <c r="H53" i="72" s="1"/>
  <c r="U54" i="41" s="1"/>
  <c r="G42" i="72"/>
  <c r="H42" i="72" s="1"/>
  <c r="U43" i="41" s="1"/>
  <c r="G7" i="72"/>
  <c r="H7" i="72" s="1"/>
  <c r="J8" i="41" s="1"/>
  <c r="O8" i="41" s="1"/>
  <c r="G14" i="72"/>
  <c r="H14" i="72" s="1"/>
  <c r="J15" i="41" s="1"/>
  <c r="O15" i="41" s="1"/>
  <c r="G11" i="72"/>
  <c r="H11" i="72" s="1"/>
  <c r="U12" i="41" s="1"/>
  <c r="G55" i="72"/>
  <c r="H55" i="72" s="1"/>
  <c r="U56" i="41" s="1"/>
  <c r="G16" i="72"/>
  <c r="H16" i="72" s="1"/>
  <c r="J17" i="41" s="1"/>
  <c r="O17" i="41" s="1"/>
  <c r="G25" i="72"/>
  <c r="H25" i="72" s="1"/>
  <c r="U26" i="41" s="1"/>
  <c r="H27" i="72"/>
  <c r="V28" i="41" s="1"/>
  <c r="G40" i="72"/>
  <c r="H40" i="72" s="1"/>
  <c r="J41" i="41" s="1"/>
  <c r="O41" i="41" s="1"/>
  <c r="G37" i="72"/>
  <c r="H37" i="72" s="1"/>
  <c r="J38" i="41" s="1"/>
  <c r="O38" i="41" s="1"/>
  <c r="G15" i="72"/>
  <c r="H15" i="72" s="1"/>
  <c r="U16" i="41" s="1"/>
  <c r="G41" i="72"/>
  <c r="H41" i="72" s="1"/>
  <c r="J42" i="41" s="1"/>
  <c r="O42" i="41" s="1"/>
  <c r="G23" i="72"/>
  <c r="H23" i="72" s="1"/>
  <c r="U24" i="41" s="1"/>
  <c r="G21" i="72"/>
  <c r="H21" i="72" s="1"/>
  <c r="J22" i="41" s="1"/>
  <c r="O22" i="41" s="1"/>
  <c r="G33" i="72"/>
  <c r="H33" i="72" s="1"/>
  <c r="U34" i="41" s="1"/>
  <c r="G52" i="72"/>
  <c r="H52" i="72" s="1"/>
  <c r="J53" i="41" s="1"/>
  <c r="O53" i="41" s="1"/>
  <c r="G45" i="72"/>
  <c r="H45" i="72" s="1"/>
  <c r="U46" i="41" s="1"/>
  <c r="G57" i="72"/>
  <c r="H57" i="72" s="1"/>
  <c r="V58" i="41" s="1"/>
  <c r="G22" i="72"/>
  <c r="H22" i="72" s="1"/>
  <c r="J23" i="41" s="1"/>
  <c r="O23" i="41" s="1"/>
  <c r="G17" i="72"/>
  <c r="H17" i="72" s="1"/>
  <c r="V18" i="41" s="1"/>
  <c r="G31" i="72"/>
  <c r="H31" i="72" s="1"/>
  <c r="J32" i="41" s="1"/>
  <c r="O32" i="41" s="1"/>
  <c r="G59" i="72"/>
  <c r="H59" i="72" s="1"/>
  <c r="U60" i="41" s="1"/>
  <c r="J49" i="41"/>
  <c r="O49" i="41" s="1"/>
  <c r="U49" i="41"/>
  <c r="V49" i="41"/>
  <c r="V30" i="41"/>
  <c r="J30" i="41"/>
  <c r="O30" i="41" s="1"/>
  <c r="U30" i="41"/>
  <c r="V21" i="41"/>
  <c r="U21" i="41"/>
  <c r="J21" i="41"/>
  <c r="O21" i="41" s="1"/>
  <c r="V36" i="41"/>
  <c r="J36" i="41"/>
  <c r="O36" i="41" s="1"/>
  <c r="U36" i="41"/>
  <c r="J45" i="41"/>
  <c r="O45" i="41" s="1"/>
  <c r="V45" i="41"/>
  <c r="U45" i="41"/>
  <c r="J35" i="41"/>
  <c r="O35" i="41" s="1"/>
  <c r="U35" i="41"/>
  <c r="V35" i="41"/>
  <c r="U50" i="41"/>
  <c r="J50" i="41"/>
  <c r="O50" i="41" s="1"/>
  <c r="V50" i="41"/>
  <c r="V27" i="41"/>
  <c r="U27" i="41"/>
  <c r="J27" i="41"/>
  <c r="O27" i="41" s="1"/>
  <c r="J11" i="41"/>
  <c r="O11" i="41" s="1"/>
  <c r="V11" i="41"/>
  <c r="U11" i="41"/>
  <c r="U25" i="41"/>
  <c r="J25" i="41"/>
  <c r="O25" i="41" s="1"/>
  <c r="V25" i="41"/>
  <c r="V14" i="41"/>
  <c r="U14" i="41"/>
  <c r="J14" i="41"/>
  <c r="O14" i="41" s="1"/>
  <c r="U31" i="41"/>
  <c r="V31" i="41"/>
  <c r="J64" i="41"/>
  <c r="O64" i="41" s="1"/>
  <c r="V64" i="41"/>
  <c r="V10" i="41"/>
  <c r="U10" i="41"/>
  <c r="J10" i="41"/>
  <c r="O10" i="41" s="1"/>
  <c r="U39" i="41"/>
  <c r="V39" i="41"/>
  <c r="J39" i="41"/>
  <c r="O39" i="41" s="1"/>
  <c r="V57" i="41"/>
  <c r="U57" i="41"/>
  <c r="J57" i="41"/>
  <c r="O57" i="41" s="1"/>
  <c r="V37" i="41"/>
  <c r="U37" i="41"/>
  <c r="J37" i="41"/>
  <c r="O37" i="41" s="1"/>
  <c r="J9" i="41"/>
  <c r="O9" i="41" s="1"/>
  <c r="U9" i="41"/>
  <c r="V9" i="41"/>
  <c r="J13" i="41"/>
  <c r="O13" i="41" s="1"/>
  <c r="V13" i="41"/>
  <c r="U13" i="41"/>
  <c r="U29" i="41"/>
  <c r="V29" i="41"/>
  <c r="J29" i="41"/>
  <c r="O29" i="41" s="1"/>
  <c r="U48" i="41"/>
  <c r="J48" i="41"/>
  <c r="O48" i="41" s="1"/>
  <c r="V48" i="41"/>
  <c r="V40" i="41"/>
  <c r="U40" i="41"/>
  <c r="J40" i="41"/>
  <c r="O40" i="41" s="1"/>
  <c r="U55" i="41"/>
  <c r="V55" i="41"/>
  <c r="J55" i="41"/>
  <c r="O55" i="41" s="1"/>
  <c r="J61" i="41"/>
  <c r="O61" i="41" s="1"/>
  <c r="V61" i="41"/>
  <c r="U61" i="41"/>
  <c r="V63" i="41"/>
  <c r="U63" i="41"/>
  <c r="J63" i="41"/>
  <c r="O63" i="41" s="1"/>
  <c r="J24" i="41" l="1"/>
  <c r="O24" i="41" s="1"/>
  <c r="V24" i="41"/>
  <c r="J47" i="41"/>
  <c r="O47" i="41" s="1"/>
  <c r="U47" i="41"/>
  <c r="V44" i="41"/>
  <c r="V19" i="41"/>
  <c r="J34" i="41"/>
  <c r="O34" i="41" s="1"/>
  <c r="U42" i="41"/>
  <c r="U7" i="41"/>
  <c r="W7" i="41" s="1"/>
  <c r="U19" i="41"/>
  <c r="U20" i="41"/>
  <c r="J16" i="41"/>
  <c r="O16" i="41" s="1"/>
  <c r="V34" i="41"/>
  <c r="W34" i="41" s="1"/>
  <c r="V20" i="41"/>
  <c r="U44" i="41"/>
  <c r="U62" i="41"/>
  <c r="V62" i="41"/>
  <c r="J7" i="41"/>
  <c r="O7" i="41" s="1"/>
  <c r="V53" i="41"/>
  <c r="V22" i="41"/>
  <c r="V41" i="41"/>
  <c r="U41" i="41"/>
  <c r="V52" i="41"/>
  <c r="W52" i="41" s="1"/>
  <c r="J52" i="41"/>
  <c r="O52" i="41" s="1"/>
  <c r="J59" i="41"/>
  <c r="O59" i="41" s="1"/>
  <c r="V16" i="41"/>
  <c r="W16" i="41" s="1"/>
  <c r="U22" i="41"/>
  <c r="U59" i="41"/>
  <c r="W59" i="41" s="1"/>
  <c r="V38" i="41"/>
  <c r="U38" i="41"/>
  <c r="U53" i="41"/>
  <c r="W53" i="41" s="1"/>
  <c r="AB53" i="41" s="1"/>
  <c r="U15" i="41"/>
  <c r="V15" i="41"/>
  <c r="W14" i="41"/>
  <c r="AB14" i="41" s="1"/>
  <c r="AD14" i="41" s="1"/>
  <c r="J43" i="41"/>
  <c r="O43" i="41" s="1"/>
  <c r="W10" i="41"/>
  <c r="AB10" i="41" s="1"/>
  <c r="W37" i="41"/>
  <c r="AB37" i="41" s="1"/>
  <c r="J18" i="41"/>
  <c r="O18" i="41" s="1"/>
  <c r="V43" i="41"/>
  <c r="W43" i="41" s="1"/>
  <c r="V54" i="41"/>
  <c r="W54" i="41" s="1"/>
  <c r="J54" i="41"/>
  <c r="O54" i="41" s="1"/>
  <c r="J51" i="41"/>
  <c r="O51" i="41" s="1"/>
  <c r="U32" i="41"/>
  <c r="J28" i="41"/>
  <c r="O28" i="41" s="1"/>
  <c r="V23" i="41"/>
  <c r="J26" i="41"/>
  <c r="O26" i="41" s="1"/>
  <c r="J56" i="41"/>
  <c r="O56" i="41" s="1"/>
  <c r="V33" i="41"/>
  <c r="W33" i="41" s="1"/>
  <c r="U58" i="41"/>
  <c r="W58" i="41" s="1"/>
  <c r="V26" i="41"/>
  <c r="W26" i="41" s="1"/>
  <c r="V12" i="41"/>
  <c r="W12" i="41" s="1"/>
  <c r="J33" i="41"/>
  <c r="O33" i="41" s="1"/>
  <c r="J60" i="41"/>
  <c r="O60" i="41" s="1"/>
  <c r="J58" i="41"/>
  <c r="O58" i="41" s="1"/>
  <c r="J12" i="41"/>
  <c r="O12" i="41" s="1"/>
  <c r="U18" i="41"/>
  <c r="W18" i="41" s="1"/>
  <c r="U28" i="41"/>
  <c r="W28" i="41" s="1"/>
  <c r="V51" i="41"/>
  <c r="W51" i="41" s="1"/>
  <c r="U23" i="41"/>
  <c r="V56" i="41"/>
  <c r="W56" i="41" s="1"/>
  <c r="U17" i="41"/>
  <c r="U8" i="41"/>
  <c r="V60" i="41"/>
  <c r="W60" i="41" s="1"/>
  <c r="J46" i="41"/>
  <c r="O46" i="41" s="1"/>
  <c r="V17" i="41"/>
  <c r="V32" i="41"/>
  <c r="V46" i="41"/>
  <c r="W46" i="41" s="1"/>
  <c r="V42" i="41"/>
  <c r="V8" i="41"/>
  <c r="W40" i="41"/>
  <c r="AB40" i="41" s="1"/>
  <c r="AD40" i="41" s="1"/>
  <c r="W45" i="41"/>
  <c r="AB45" i="41" s="1"/>
  <c r="W39" i="41"/>
  <c r="AB39" i="41" s="1"/>
  <c r="AD39" i="41" s="1"/>
  <c r="W11" i="41"/>
  <c r="AB11" i="41" s="1"/>
  <c r="AD11" i="41" s="1"/>
  <c r="W29" i="41"/>
  <c r="AB29" i="41" s="1"/>
  <c r="W21" i="41"/>
  <c r="AB21" i="41" s="1"/>
  <c r="W49" i="41"/>
  <c r="AB49" i="41" s="1"/>
  <c r="AD49" i="41" s="1"/>
  <c r="W50" i="41"/>
  <c r="AB50" i="41" s="1"/>
  <c r="W63" i="41"/>
  <c r="AB63" i="41" s="1"/>
  <c r="W36" i="41"/>
  <c r="AB36" i="41" s="1"/>
  <c r="W57" i="41"/>
  <c r="AB57" i="41" s="1"/>
  <c r="W55" i="41"/>
  <c r="AB55" i="41" s="1"/>
  <c r="W64" i="41"/>
  <c r="AB64" i="41" s="1"/>
  <c r="W35" i="41"/>
  <c r="AB35" i="41" s="1"/>
  <c r="W31" i="41"/>
  <c r="AB31" i="41" s="1"/>
  <c r="D31" i="93" s="1"/>
  <c r="W24" i="41"/>
  <c r="AB24" i="41" s="1"/>
  <c r="W47" i="41"/>
  <c r="AB47" i="41" s="1"/>
  <c r="AD47" i="41" s="1"/>
  <c r="W25" i="41"/>
  <c r="AB25" i="41" s="1"/>
  <c r="W13" i="41"/>
  <c r="AB13" i="41" s="1"/>
  <c r="W48" i="41"/>
  <c r="AB48" i="41" s="1"/>
  <c r="W30" i="41"/>
  <c r="AB30" i="41" s="1"/>
  <c r="W9" i="41"/>
  <c r="AB9" i="41" s="1"/>
  <c r="W27" i="41"/>
  <c r="AB27" i="41" s="1"/>
  <c r="W61" i="41"/>
  <c r="AB61" i="41" s="1"/>
  <c r="W62" i="41" l="1"/>
  <c r="AB62" i="41" s="1"/>
  <c r="AD62" i="41" s="1"/>
  <c r="W44" i="41"/>
  <c r="AB44" i="41" s="1"/>
  <c r="D44" i="93" s="1"/>
  <c r="AB59" i="41"/>
  <c r="W19" i="41"/>
  <c r="AB19" i="41" s="1"/>
  <c r="W20" i="41"/>
  <c r="AB20" i="41" s="1"/>
  <c r="AB52" i="41"/>
  <c r="AB34" i="41"/>
  <c r="AD34" i="41" s="1"/>
  <c r="W42" i="41"/>
  <c r="AB42" i="41" s="1"/>
  <c r="D42" i="93" s="1"/>
  <c r="AB16" i="41"/>
  <c r="D16" i="93" s="1"/>
  <c r="W22" i="41"/>
  <c r="AB22" i="41" s="1"/>
  <c r="D22" i="93" s="1"/>
  <c r="W41" i="41"/>
  <c r="AB41" i="41" s="1"/>
  <c r="D41" i="93" s="1"/>
  <c r="W38" i="41"/>
  <c r="AB38" i="41" s="1"/>
  <c r="D38" i="93" s="1"/>
  <c r="W15" i="41"/>
  <c r="AB15" i="41" s="1"/>
  <c r="D15" i="93" s="1"/>
  <c r="AB43" i="41"/>
  <c r="D43" i="93" s="1"/>
  <c r="AB18" i="41"/>
  <c r="AD18" i="41" s="1"/>
  <c r="AB54" i="41"/>
  <c r="AD54" i="41" s="1"/>
  <c r="AB12" i="41"/>
  <c r="AD12" i="41" s="1"/>
  <c r="W32" i="41"/>
  <c r="AB32" i="41" s="1"/>
  <c r="AD32" i="41" s="1"/>
  <c r="AB51" i="41"/>
  <c r="AD51" i="41" s="1"/>
  <c r="AB26" i="41"/>
  <c r="AD26" i="41" s="1"/>
  <c r="AB33" i="41"/>
  <c r="D33" i="93" s="1"/>
  <c r="V65" i="41"/>
  <c r="AB58" i="41"/>
  <c r="AD58" i="41" s="1"/>
  <c r="AB60" i="41"/>
  <c r="AD60" i="41" s="1"/>
  <c r="O65" i="41"/>
  <c r="W8" i="41"/>
  <c r="AB8" i="41" s="1"/>
  <c r="AD8" i="41" s="1"/>
  <c r="W17" i="41"/>
  <c r="AB17" i="41" s="1"/>
  <c r="D17" i="93" s="1"/>
  <c r="AB56" i="41"/>
  <c r="AD56" i="41" s="1"/>
  <c r="W23" i="41"/>
  <c r="AB23" i="41" s="1"/>
  <c r="AD23" i="41" s="1"/>
  <c r="AB28" i="41"/>
  <c r="AD28" i="41" s="1"/>
  <c r="U65" i="41"/>
  <c r="AB46" i="41"/>
  <c r="AD46" i="41" s="1"/>
  <c r="D49" i="93"/>
  <c r="AD57" i="41"/>
  <c r="D57" i="93"/>
  <c r="D14" i="93"/>
  <c r="AD59" i="41"/>
  <c r="D59" i="93"/>
  <c r="AD48" i="41"/>
  <c r="D48" i="93"/>
  <c r="AD50" i="41"/>
  <c r="D50" i="93"/>
  <c r="D13" i="93"/>
  <c r="AD13" i="41"/>
  <c r="D39" i="93"/>
  <c r="D11" i="93"/>
  <c r="AD24" i="41"/>
  <c r="D24" i="93"/>
  <c r="D20" i="93"/>
  <c r="AD20" i="41"/>
  <c r="AD31" i="41"/>
  <c r="D40" i="93"/>
  <c r="D47" i="93"/>
  <c r="D35" i="93"/>
  <c r="AD35" i="41"/>
  <c r="D36" i="93"/>
  <c r="AD36" i="41"/>
  <c r="D9" i="93"/>
  <c r="AD9" i="41"/>
  <c r="D61" i="93"/>
  <c r="AD61" i="41"/>
  <c r="AD64" i="41"/>
  <c r="D64" i="93"/>
  <c r="AD16" i="41"/>
  <c r="D10" i="93"/>
  <c r="AD10" i="41"/>
  <c r="D21" i="93"/>
  <c r="AD21" i="41"/>
  <c r="AD27" i="41"/>
  <c r="D27" i="93"/>
  <c r="AD25" i="41"/>
  <c r="D25" i="93"/>
  <c r="AD52" i="41"/>
  <c r="D52" i="93"/>
  <c r="AD43" i="41"/>
  <c r="AD55" i="41"/>
  <c r="D55" i="93"/>
  <c r="D63" i="93"/>
  <c r="AD63" i="41"/>
  <c r="AD45" i="41"/>
  <c r="D45" i="93"/>
  <c r="AD19" i="41"/>
  <c r="D19" i="93"/>
  <c r="AD30" i="41"/>
  <c r="D30" i="93"/>
  <c r="D37" i="93"/>
  <c r="AD37" i="41"/>
  <c r="AB7" i="41"/>
  <c r="AD7" i="41" s="1"/>
  <c r="D53" i="93"/>
  <c r="AD53" i="41"/>
  <c r="D29" i="93"/>
  <c r="AD29" i="41"/>
  <c r="AD44" i="41" l="1"/>
  <c r="AD22" i="41"/>
  <c r="D62" i="93"/>
  <c r="D34" i="93"/>
  <c r="AD41" i="41"/>
  <c r="AD42" i="41"/>
  <c r="D18" i="93"/>
  <c r="D54" i="93"/>
  <c r="AD15" i="41"/>
  <c r="D26" i="93"/>
  <c r="AD38" i="41"/>
  <c r="D32" i="93"/>
  <c r="D12" i="93"/>
  <c r="D58" i="93"/>
  <c r="AD33" i="41"/>
  <c r="D8" i="93"/>
  <c r="D60" i="93"/>
  <c r="D51" i="93"/>
  <c r="D56" i="93"/>
  <c r="D23" i="93"/>
  <c r="AD17" i="41"/>
  <c r="D28" i="93"/>
  <c r="W65" i="41"/>
  <c r="D46" i="93"/>
  <c r="D7" i="93"/>
  <c r="AB65" i="41"/>
  <c r="AC7" i="41" l="1"/>
  <c r="D65" i="93"/>
  <c r="E45" i="93" s="1"/>
  <c r="AC14" i="41"/>
  <c r="AC62" i="41"/>
  <c r="AC11" i="41"/>
  <c r="AC20" i="41"/>
  <c r="AC49" i="41"/>
  <c r="AC47" i="41"/>
  <c r="AC59" i="41"/>
  <c r="AC51" i="41"/>
  <c r="AC40" i="41"/>
  <c r="AC15" i="41"/>
  <c r="AC12" i="41"/>
  <c r="AC60" i="41"/>
  <c r="AC39" i="41"/>
  <c r="AC13" i="41"/>
  <c r="AC31" i="41"/>
  <c r="AC26" i="41"/>
  <c r="AC24" i="41"/>
  <c r="AC48" i="41"/>
  <c r="AC18" i="41"/>
  <c r="AC50" i="41"/>
  <c r="AC57" i="41"/>
  <c r="AC42" i="41"/>
  <c r="AC33" i="41"/>
  <c r="AC38" i="41"/>
  <c r="AC29" i="41"/>
  <c r="AC27" i="41"/>
  <c r="AC44" i="41"/>
  <c r="AC45" i="41"/>
  <c r="AC53" i="41"/>
  <c r="AC8" i="41"/>
  <c r="AC23" i="41"/>
  <c r="AC21" i="41"/>
  <c r="AC64" i="41"/>
  <c r="AC35" i="41"/>
  <c r="AC56" i="41"/>
  <c r="AC32" i="41"/>
  <c r="AC25" i="41"/>
  <c r="AC55" i="41"/>
  <c r="AC19" i="41"/>
  <c r="AC22" i="41"/>
  <c r="AC30" i="41"/>
  <c r="AC34" i="41"/>
  <c r="AC54" i="41"/>
  <c r="AC10" i="41"/>
  <c r="AC63" i="41"/>
  <c r="AC36" i="41"/>
  <c r="AC16" i="41"/>
  <c r="AC52" i="41"/>
  <c r="AC37" i="41"/>
  <c r="AC9" i="41"/>
  <c r="AC58" i="41"/>
  <c r="AC28" i="41"/>
  <c r="AC17" i="41"/>
  <c r="AC46" i="41"/>
  <c r="AC43" i="41"/>
  <c r="AC61" i="41"/>
  <c r="AC41" i="41"/>
  <c r="E56" i="93" l="1"/>
  <c r="E50" i="93"/>
  <c r="E13" i="93"/>
  <c r="E48" i="93"/>
  <c r="E49" i="93"/>
  <c r="E40" i="93"/>
  <c r="E60" i="93"/>
  <c r="E8" i="93"/>
  <c r="E57" i="93"/>
  <c r="E20" i="93"/>
  <c r="E47" i="93"/>
  <c r="E31" i="93"/>
  <c r="E54" i="93"/>
  <c r="E62" i="93"/>
  <c r="E28" i="93"/>
  <c r="E14" i="93"/>
  <c r="E12" i="93"/>
  <c r="E7" i="93"/>
  <c r="E34" i="93"/>
  <c r="E42" i="93"/>
  <c r="E55" i="93"/>
  <c r="E30" i="93"/>
  <c r="E61" i="93"/>
  <c r="E46" i="93"/>
  <c r="E17" i="93"/>
  <c r="E52" i="93"/>
  <c r="E9" i="93"/>
  <c r="E44" i="93"/>
  <c r="E26" i="93"/>
  <c r="E53" i="93"/>
  <c r="E21" i="93"/>
  <c r="E11" i="93"/>
  <c r="E16" i="93"/>
  <c r="E25" i="93"/>
  <c r="E41" i="93"/>
  <c r="E32" i="93"/>
  <c r="E36" i="93"/>
  <c r="E15" i="93"/>
  <c r="E33" i="93"/>
  <c r="E39" i="93"/>
  <c r="E22" i="93"/>
  <c r="E58" i="93"/>
  <c r="E59" i="93"/>
  <c r="E19" i="93"/>
  <c r="E24" i="93"/>
  <c r="E63" i="93"/>
  <c r="E51" i="93"/>
  <c r="E29" i="93"/>
  <c r="E37" i="93"/>
  <c r="E18" i="93"/>
  <c r="E43" i="93"/>
  <c r="E64" i="93"/>
  <c r="E10" i="93"/>
  <c r="E38" i="93"/>
  <c r="E35" i="93"/>
  <c r="E23" i="93"/>
  <c r="E27" i="93"/>
  <c r="AC65" i="41"/>
  <c r="E65" i="93" l="1"/>
</calcChain>
</file>

<file path=xl/sharedStrings.xml><?xml version="1.0" encoding="utf-8"?>
<sst xmlns="http://schemas.openxmlformats.org/spreadsheetml/2006/main" count="920" uniqueCount="250">
  <si>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</si>
  <si>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</si>
  <si>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</si>
  <si>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</si>
  <si>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</si>
  <si>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</si>
  <si>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</si>
  <si>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</si>
  <si>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</si>
  <si>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</si>
  <si>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</si>
  <si>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</si>
  <si>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</si>
  <si>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</si>
  <si>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</si>
  <si>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</si>
  <si>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</si>
  <si>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</si>
  <si>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</si>
  <si>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</si>
  <si>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</si>
  <si>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</si>
  <si>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</si>
  <si>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</si>
  <si>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</si>
  <si>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</si>
  <si>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</si>
  <si>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</si>
  <si>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</si>
  <si>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</si>
  <si>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</si>
  <si>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</si>
  <si>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</si>
  <si>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</si>
  <si>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</si>
  <si>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</si>
  <si>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</si>
  <si>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</si>
  <si>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</si>
  <si>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</si>
  <si>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</si>
  <si>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</si>
  <si>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</si>
  <si>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</si>
  <si>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</si>
  <si>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</si>
  <si>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</si>
  <si>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</si>
  <si>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</si>
  <si>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</si>
  <si>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</si>
  <si>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</si>
  <si>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</si>
  <si>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</si>
  <si>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</si>
  <si>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</si>
  <si>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</si>
  <si>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</si>
  <si>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</si>
  <si>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</si>
  <si>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</si>
  <si>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</si>
  <si>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</si>
  <si>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</si>
  <si>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</si>
  <si>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</si>
  <si>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</si>
  <si>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</si>
  <si>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</si>
  <si>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</si>
  <si>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</si>
  <si>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</si>
  <si>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</si>
  <si>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</si>
  <si>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</si>
  <si>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</si>
  <si>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</si>
  <si>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</si>
  <si>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</si>
  <si>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</si>
  <si>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</si>
  <si>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</si>
  <si>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</si>
  <si>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</si>
  <si>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</si>
  <si>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</si>
  <si>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</si>
  <si>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</si>
  <si>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</si>
  <si>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</si>
  <si>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</si>
  <si>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</si>
  <si>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</si>
  <si>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</si>
  <si>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</si>
  <si>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</si>
  <si>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</si>
  <si>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</si>
  <si>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</si>
  <si>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</si>
  <si>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</si>
  <si>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Need (2017-18)</t>
  </si>
  <si>
    <t xml:space="preserve">Previous Year Allocation (2017-18) </t>
  </si>
  <si>
    <t>Previous Year % of Need</t>
  </si>
  <si>
    <t>Difference Between % of Need and State Avg.</t>
  </si>
  <si>
    <t xml:space="preserve">Current Year Allocation (2018-19) </t>
  </si>
  <si>
    <t>Current Year Need (2018-19)</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</si>
  <si>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</si>
  <si>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</si>
  <si>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</si>
  <si>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</si>
  <si>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</si>
  <si>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</si>
  <si>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</si>
  <si>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</si>
  <si>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</si>
  <si>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</si>
  <si>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</si>
  <si>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</si>
  <si>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</si>
  <si>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</si>
  <si>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</si>
  <si>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</si>
  <si>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</si>
  <si>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</si>
  <si>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</si>
  <si>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</si>
  <si>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</si>
  <si>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</si>
  <si>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</si>
  <si>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</si>
  <si>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</si>
  <si>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</si>
  <si>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</si>
  <si>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</si>
  <si>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</si>
  <si>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</si>
  <si>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</si>
  <si>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</si>
  <si>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</si>
  <si>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</si>
  <si>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</si>
  <si>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</si>
  <si>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</si>
  <si>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</si>
  <si>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</si>
  <si>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</si>
  <si>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</si>
  <si>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</si>
  <si>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</si>
  <si>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</si>
  <si>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</si>
  <si>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</si>
  <si>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</si>
  <si>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</si>
  <si>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</si>
  <si>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</si>
  <si>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</si>
  <si>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</si>
  <si>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</si>
  <si>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</si>
  <si>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</si>
  <si>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</si>
  <si>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</si>
  <si>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</si>
  <si>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</si>
  <si>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</si>
  <si>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</si>
  <si>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</si>
  <si>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</si>
  <si>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</si>
  <si>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</si>
  <si>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</si>
  <si>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</si>
  <si>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</si>
  <si>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</si>
  <si>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</si>
  <si>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</si>
  <si>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</si>
  <si>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</si>
  <si>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</si>
  <si>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</si>
  <si>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</si>
  <si>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</si>
  <si>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</si>
  <si>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</si>
  <si>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</si>
  <si>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</si>
  <si>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</si>
  <si>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</si>
  <si>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</si>
  <si>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</si>
  <si>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</si>
  <si>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</si>
  <si>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</si>
  <si>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</si>
  <si>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</si>
  <si>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</si>
  <si>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</si>
  <si>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</si>
  <si>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</si>
  <si>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</si>
  <si>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</si>
  <si>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</si>
  <si>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</si>
  <si>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</si>
  <si>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</si>
  <si>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</si>
  <si>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</si>
  <si>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 xml:space="preserve">This is currently calculated by Khulan and Copy/Pasted into this sheet. There are no calculations or references to other sheets. </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</si>
  <si>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</si>
  <si>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</si>
  <si>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</si>
  <si>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</si>
  <si>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</si>
  <si>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</si>
  <si>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</si>
  <si>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t>
    </r>
  </si>
  <si>
    <r>
      <t>Court Executive 
Officer (CEO) 
Cluster Average 
Salary</t>
    </r>
    <r>
      <rPr>
        <b/>
        <vertAlign val="superscript"/>
        <sz val="10"/>
        <rFont val="Calibri"/>
        <family val="2"/>
        <scheme val="minor"/>
      </rPr>
      <t>3</t>
    </r>
  </si>
  <si>
    <r>
      <t>BLS 
Factor</t>
    </r>
    <r>
      <rPr>
        <b/>
        <vertAlign val="superscript"/>
        <sz val="11"/>
        <color theme="1"/>
        <rFont val="Calibri"/>
        <family val="2"/>
        <scheme val="minor"/>
      </rPr>
      <t>4</t>
    </r>
  </si>
  <si>
    <r>
      <t>Average Salary-Driven Benefits as % of Salary and 
Average Non Salary-Driven Benefits Per FTE</t>
    </r>
    <r>
      <rPr>
        <b/>
        <vertAlign val="superscript"/>
        <sz val="11"/>
        <rFont val="Calibri"/>
        <family val="2"/>
        <scheme val="minor"/>
      </rPr>
      <t>5</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</si>
  <si>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6</t>
    </r>
  </si>
  <si>
    <r>
      <t>Remove AB 1058 Staff/Family Law Facilitator Costs</t>
    </r>
    <r>
      <rPr>
        <b/>
        <vertAlign val="superscript"/>
        <sz val="11"/>
        <color theme="0"/>
        <rFont val="Calibri"/>
        <family val="2"/>
        <scheme val="minor"/>
      </rPr>
      <t>7</t>
    </r>
  </si>
  <si>
    <t>RAS FTE Need 
Multiplied by 
BLS
(Avg. Salary * BLS)</t>
  </si>
  <si>
    <t>RAS FTE Need 
Multiplied by 
Allotment Factor w/
&lt; 50 FTE &amp; Median Adjustments</t>
  </si>
  <si>
    <r>
      <t>FTE Need Multiplied by FTE Allotment Factor, 
Prior to Bureau of Labor Statistics (BLS) Adjustment</t>
    </r>
    <r>
      <rPr>
        <b/>
        <vertAlign val="superscript"/>
        <sz val="11"/>
        <color theme="1"/>
        <rFont val="Calibri"/>
        <family val="2"/>
        <scheme val="minor"/>
      </rPr>
      <t>2</t>
    </r>
  </si>
  <si>
    <t>Total RAS Need 
(J + M)</t>
  </si>
  <si>
    <t>2025-26 Workload Formula</t>
  </si>
  <si>
    <r>
      <t xml:space="preserve">¹ Estimated need based on three-year average filings data from </t>
    </r>
    <r>
      <rPr>
        <i/>
        <sz val="11"/>
        <rFont val="Calibri"/>
        <family val="2"/>
        <scheme val="minor"/>
      </rPr>
      <t>2021-2022 through 2023-2024.</t>
    </r>
    <r>
      <rPr>
        <i/>
        <sz val="11"/>
        <color theme="1"/>
        <rFont val="Calibri"/>
        <family val="2"/>
        <scheme val="minor"/>
      </rPr>
      <t xml:space="preserve"> </t>
    </r>
  </si>
  <si>
    <r>
      <rPr>
        <i/>
        <vertAlign val="superscript"/>
        <sz val="11"/>
        <color theme="1"/>
        <rFont val="Calibri"/>
        <family val="2"/>
        <scheme val="minor"/>
      </rPr>
      <t>2</t>
    </r>
    <r>
      <rPr>
        <i/>
        <sz val="11"/>
        <color theme="1"/>
        <rFont val="Calibri"/>
        <family val="2"/>
        <scheme val="minor"/>
      </rPr>
      <t>Unadjusted base funding per RAS FTE, based on 2024-25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</si>
  <si>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3</t>
    </r>
    <r>
      <rPr>
        <i/>
        <sz val="11"/>
        <color theme="1"/>
        <rFont val="Calibri"/>
        <family val="2"/>
        <scheme val="minor"/>
      </rPr>
      <t>2024-25 Schedule 7A data</t>
    </r>
  </si>
  <si>
    <r>
      <rPr>
        <i/>
        <vertAlign val="superscript"/>
        <sz val="11"/>
        <rFont val="Calibri"/>
        <family val="2"/>
        <scheme val="minor"/>
      </rPr>
      <t>4</t>
    </r>
    <r>
      <rPr>
        <i/>
        <sz val="11"/>
        <rFont val="Calibri"/>
        <family val="2"/>
        <scheme val="minor"/>
      </rPr>
      <t>BLS Cost of Labor adjustment based on Quarterly Census of Wages &amp; Employment, three-year average from 2021 through 2023.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</si>
  <si>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5</t>
    </r>
    <r>
      <rPr>
        <i/>
        <sz val="11"/>
        <color theme="1"/>
        <rFont val="Calibri"/>
        <family val="2"/>
        <scheme val="minor"/>
      </rPr>
      <t>2024-25 Schedule 7A data</t>
    </r>
  </si>
  <si>
    <r>
      <rPr>
        <i/>
        <vertAlign val="superscript"/>
        <sz val="11"/>
        <color theme="1"/>
        <rFont val="Calibri"/>
        <family val="2"/>
        <scheme val="minor"/>
      </rPr>
      <t>6</t>
    </r>
    <r>
      <rPr>
        <i/>
        <sz val="11"/>
        <color theme="1"/>
        <rFont val="Calibri"/>
        <family val="2"/>
        <scheme val="minor"/>
      </rPr>
      <t>OE&amp;E Based on Cluster Average 
OE&amp;E / FTE (Cluster 1: $; Clusters 2-4: $) 
using 2021-22 to 2023-24 data</t>
    </r>
  </si>
  <si>
    <r>
      <rPr>
        <vertAlign val="superscript"/>
        <sz val="11"/>
        <color theme="1"/>
        <rFont val="Calibri"/>
        <family val="2"/>
        <scheme val="minor"/>
      </rPr>
      <t>7</t>
    </r>
    <r>
      <rPr>
        <sz val="11"/>
        <color theme="1"/>
        <rFont val="Calibri"/>
        <family val="2"/>
        <scheme val="minor"/>
      </rPr>
      <t>2023-24 data</t>
    </r>
  </si>
  <si>
    <t>¹ 2021 - 2023 data.</t>
  </si>
  <si>
    <r>
      <t>2025-26 Resource Assessment Study (RAS) Full-Time Equivalent (FTE) Need</t>
    </r>
    <r>
      <rPr>
        <b/>
        <sz val="14"/>
        <color theme="1"/>
        <rFont val="Calibri"/>
        <family val="2"/>
      </rPr>
      <t>¹</t>
    </r>
  </si>
  <si>
    <t xml:space="preserve">¹ FTE Work Year Value = 1,632.75 hours </t>
  </si>
  <si>
    <r>
      <rPr>
        <sz val="11"/>
        <color theme="1"/>
        <rFont val="Calibri"/>
        <family val="2"/>
      </rPr>
      <t>²</t>
    </r>
    <r>
      <rPr>
        <i/>
        <sz val="9.35"/>
        <color theme="1"/>
        <rFont val="Calibri"/>
        <family val="2"/>
      </rPr>
      <t xml:space="preserve"> </t>
    </r>
    <r>
      <rPr>
        <i/>
        <sz val="11"/>
        <color theme="1"/>
        <rFont val="Calibri"/>
        <family val="2"/>
        <scheme val="minor"/>
      </rPr>
      <t>Reported on 2024-25 Schedule 7A; non-RAS staff include categories such as Subordinate Judicial Officers, Enhanced Collections Staff, and Interpreters.</t>
    </r>
  </si>
  <si>
    <t>¹ Using 2024-25 data.</t>
  </si>
  <si>
    <t>2024-25</t>
  </si>
  <si>
    <t>¹ Updated three year average (2021-22 to 2023-24); changes to GL, PECT and Fund inclusion/exclusion approved by FMS have been incorporated in this OEE calculation.</t>
  </si>
  <si>
    <t>FY 23/24 AB 1058 Costs</t>
  </si>
  <si>
    <t>FY23/24 AB 1058 Costs</t>
  </si>
  <si>
    <t>Updated March 25, 2025</t>
  </si>
  <si>
    <t>Updated February 27, 2025</t>
  </si>
  <si>
    <t>Updated March 11, 2025</t>
  </si>
  <si>
    <t>Updated September 23, 2024</t>
  </si>
  <si>
    <t>Updated April  21, 2025</t>
  </si>
  <si>
    <t>Updated April 21,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</si>
</sst>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i/>
      <sz val="9"/>
      <name val="Calibri"/>
      <family val="2"/>
      <scheme val="minor"/>
    </font>
    <font>
      <sz val="8"/>
      <name val="Calibri"/>
      <family val="2"/>
      <scheme val="minor"/>
    </font>
  </fonts>
  <fills count="40">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s>
  <borders count="3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7" borderId="0" applyNumberFormat="0" applyBorder="0" applyAlignment="0" applyProtection="0"/>
    <xf numFmtId="0" fontId="8" fillId="28" borderId="0" applyNumberFormat="0" applyBorder="0" applyAlignment="0" applyProtection="0"/>
    <xf numFmtId="0" fontId="47" fillId="0" borderId="0"/>
    <xf numFmtId="0" fontId="8" fillId="29" borderId="0" applyNumberFormat="0" applyBorder="0" applyAlignment="0" applyProtection="0"/>
  </cellStyleXfs>
  <cellXfs count="314">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10" fillId="0" borderId="0" xfId="0" applyNumberFormat="1" applyFont="1"/>
    <xf numFmtId="165" fontId="0" fillId="0" borderId="2" xfId="0" applyNumberFormat="1" applyBorder="1"/>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xf numFmtId="164" fontId="0" fillId="0" borderId="2" xfId="0" applyNumberFormat="1" applyBorder="1"/>
    <xf numFmtId="165" fontId="0" fillId="0" borderId="25" xfId="0" applyNumberFormat="1" applyBorder="1"/>
    <xf numFmtId="0" fontId="0" fillId="0" borderId="22" xfId="6" applyFont="1" applyBorder="1"/>
    <xf numFmtId="164" fontId="0" fillId="0" borderId="23" xfId="0" applyNumberFormat="1" applyBorder="1"/>
    <xf numFmtId="165" fontId="0" fillId="0" borderId="23" xfId="0" applyNumberFormat="1" applyBorder="1"/>
    <xf numFmtId="165" fontId="0" fillId="0" borderId="26" xfId="0" applyNumberForma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Border="1"/>
    <xf numFmtId="164" fontId="0" fillId="0" borderId="22" xfId="0" applyNumberForma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Border="1"/>
    <xf numFmtId="10" fontId="0" fillId="0" borderId="25" xfId="0" applyNumberFormat="1" applyBorder="1"/>
    <xf numFmtId="10" fontId="0" fillId="0" borderId="23" xfId="0" applyNumberFormat="1" applyBorder="1"/>
    <xf numFmtId="10" fontId="0" fillId="0" borderId="26" xfId="0" applyNumberFormat="1" applyBorder="1"/>
    <xf numFmtId="10" fontId="10" fillId="0" borderId="0" xfId="0" applyNumberFormat="1" applyFont="1"/>
    <xf numFmtId="0" fontId="0" fillId="30" borderId="0" xfId="0" applyFill="1"/>
    <xf numFmtId="0" fontId="10" fillId="30"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Alignment="1">
      <alignment horizontal="left" vertical="center"/>
    </xf>
    <xf numFmtId="0" fontId="37" fillId="0" borderId="0" xfId="0" applyFont="1" applyAlignment="1">
      <alignment horizontal="left" vertical="center"/>
    </xf>
    <xf numFmtId="49" fontId="42" fillId="0" borderId="0" xfId="0" applyNumberFormat="1" applyFont="1" applyAlignment="1">
      <alignment horizontal="left" vertical="center"/>
    </xf>
    <xf numFmtId="49" fontId="52" fillId="0" borderId="0" xfId="0" applyNumberFormat="1" applyFont="1" applyAlignment="1">
      <alignment horizontal="left" vertical="center"/>
    </xf>
    <xf numFmtId="0" fontId="40" fillId="0" borderId="0" xfId="0" quotePrefix="1" applyFont="1" applyAlignment="1">
      <alignment vertical="center" wrapText="1"/>
    </xf>
    <xf numFmtId="0" fontId="40" fillId="0" borderId="0" xfId="0" applyFont="1" applyAlignment="1">
      <alignment horizontal="left" vertical="center" wrapText="1"/>
    </xf>
    <xf numFmtId="0" fontId="37" fillId="0" borderId="0" xfId="0" applyFont="1" applyAlignment="1">
      <alignment horizontal="left" vertical="center" wrapText="1"/>
    </xf>
    <xf numFmtId="0" fontId="0" fillId="0" borderId="0" xfId="0" applyAlignment="1">
      <alignment vertical="center"/>
    </xf>
    <xf numFmtId="3" fontId="0" fillId="0" borderId="0" xfId="0" applyNumberFormat="1" applyAlignment="1">
      <alignment vertical="center"/>
    </xf>
    <xf numFmtId="166" fontId="0" fillId="0" borderId="0" xfId="2" applyNumberFormat="1" applyFont="1" applyFill="1" applyBorder="1" applyAlignment="1">
      <alignment vertical="center"/>
    </xf>
    <xf numFmtId="164" fontId="0" fillId="0" borderId="0" xfId="0" applyNumberFormat="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Font="1" applyFill="1" applyBorder="1" applyAlignment="1">
      <alignment vertical="center"/>
    </xf>
    <xf numFmtId="9" fontId="0" fillId="0" borderId="0" xfId="0" applyNumberFormat="1" applyAlignment="1">
      <alignment horizontal="right" vertical="center"/>
    </xf>
    <xf numFmtId="0" fontId="9" fillId="0" borderId="0" xfId="0" applyFont="1" applyAlignment="1">
      <alignment vertical="center"/>
    </xf>
    <xf numFmtId="0" fontId="12" fillId="0" borderId="0" xfId="0" applyFont="1" applyAlignment="1">
      <alignment vertical="center"/>
    </xf>
    <xf numFmtId="37" fontId="0" fillId="0" borderId="0" xfId="0" applyNumberFormat="1" applyAlignment="1">
      <alignment vertical="center"/>
    </xf>
    <xf numFmtId="0" fontId="10" fillId="0" borderId="0" xfId="0" applyFont="1" applyAlignment="1">
      <alignment vertical="center" wrapText="1"/>
    </xf>
    <xf numFmtId="0" fontId="0" fillId="0" borderId="2" xfId="0" applyBorder="1" applyAlignment="1">
      <alignment horizontal="center" vertical="center"/>
    </xf>
    <xf numFmtId="0" fontId="0" fillId="0" borderId="2" xfId="0"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Border="1" applyAlignment="1">
      <alignment vertical="center"/>
    </xf>
    <xf numFmtId="3" fontId="10" fillId="0" borderId="28" xfId="0" applyNumberFormat="1" applyFont="1" applyBorder="1" applyAlignment="1">
      <alignment vertical="center"/>
    </xf>
    <xf numFmtId="164" fontId="0" fillId="0" borderId="2" xfId="0" applyNumberFormat="1" applyBorder="1" applyAlignment="1">
      <alignment vertical="center"/>
    </xf>
    <xf numFmtId="3" fontId="0" fillId="0" borderId="2" xfId="0" applyNumberFormat="1" applyBorder="1" applyAlignment="1">
      <alignment vertical="center"/>
    </xf>
    <xf numFmtId="3" fontId="0" fillId="0" borderId="2" xfId="2" applyNumberFormat="1" applyFont="1" applyFill="1" applyBorder="1" applyAlignment="1">
      <alignment vertical="center"/>
    </xf>
    <xf numFmtId="0" fontId="10" fillId="32"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52" fillId="33" borderId="2" xfId="0" applyFont="1" applyFill="1" applyBorder="1" applyAlignment="1">
      <alignment horizontal="center" vertical="center" wrapText="1"/>
    </xf>
    <xf numFmtId="0" fontId="10" fillId="0" borderId="0" xfId="0" applyFont="1" applyAlignment="1">
      <alignment horizontal="center" vertical="center" wrapText="1"/>
    </xf>
    <xf numFmtId="164" fontId="10" fillId="0" borderId="28" xfId="0" applyNumberFormat="1" applyFont="1" applyBorder="1" applyAlignment="1">
      <alignment vertical="center"/>
    </xf>
    <xf numFmtId="0" fontId="52" fillId="31"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Alignment="1">
      <alignment horizontal="center" vertical="center"/>
    </xf>
    <xf numFmtId="0" fontId="38" fillId="0" borderId="0" xfId="0" applyFont="1" applyAlignment="1">
      <alignment vertical="center"/>
    </xf>
    <xf numFmtId="0" fontId="57" fillId="0" borderId="0" xfId="0" applyFont="1" applyAlignment="1">
      <alignment vertical="center"/>
    </xf>
    <xf numFmtId="0" fontId="9" fillId="0" borderId="0" xfId="0" applyFont="1" applyAlignment="1">
      <alignment horizontal="right" vertical="center"/>
    </xf>
    <xf numFmtId="166" fontId="39" fillId="0" borderId="0" xfId="2" applyNumberFormat="1" applyFont="1" applyFill="1" applyBorder="1" applyAlignment="1">
      <alignment vertical="center"/>
    </xf>
    <xf numFmtId="4" fontId="0" fillId="0" borderId="2" xfId="0" applyNumberFormat="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2"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Border="1" applyAlignment="1">
      <alignment horizontal="right" vertical="center"/>
    </xf>
    <xf numFmtId="166" fontId="50" fillId="34" borderId="2" xfId="2" applyNumberFormat="1" applyFont="1" applyFill="1" applyBorder="1" applyAlignment="1">
      <alignment horizontal="center" vertical="center" wrapText="1"/>
    </xf>
    <xf numFmtId="0" fontId="45" fillId="36" borderId="2" xfId="0" applyFont="1" applyFill="1" applyBorder="1" applyAlignment="1">
      <alignment horizontal="center" vertical="center" wrapText="1"/>
    </xf>
    <xf numFmtId="0" fontId="58" fillId="36" borderId="2"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0" borderId="0" xfId="0" applyFont="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0" fontId="8" fillId="0" borderId="0" xfId="294" applyFont="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0" fontId="39" fillId="0" borderId="0" xfId="22" applyFont="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2" xfId="0" applyBorder="1" applyAlignment="1">
      <alignment horizontal="left" vertical="center"/>
    </xf>
    <xf numFmtId="43" fontId="0" fillId="0" borderId="2" xfId="0" applyNumberFormat="1" applyBorder="1" applyAlignment="1">
      <alignment vertical="center"/>
    </xf>
    <xf numFmtId="165" fontId="0" fillId="0" borderId="2" xfId="0" applyNumberFormat="1" applyBorder="1" applyAlignment="1">
      <alignment vertical="center"/>
    </xf>
    <xf numFmtId="5" fontId="0" fillId="0" borderId="2" xfId="0" applyNumberFormat="1" applyBorder="1" applyAlignment="1">
      <alignment vertical="center"/>
    </xf>
    <xf numFmtId="164" fontId="10" fillId="0" borderId="0" xfId="0" applyNumberFormat="1"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Alignment="1">
      <alignment vertical="center"/>
    </xf>
    <xf numFmtId="0" fontId="0" fillId="0" borderId="0" xfId="0" applyAlignment="1">
      <alignment vertical="center" wrapText="1"/>
    </xf>
    <xf numFmtId="166" fontId="0" fillId="0" borderId="0" xfId="2" applyNumberFormat="1" applyFont="1" applyBorder="1" applyAlignment="1">
      <alignment vertical="center"/>
    </xf>
    <xf numFmtId="166" fontId="0" fillId="0" borderId="0" xfId="0" applyNumberFormat="1" applyAlignment="1">
      <alignment vertical="center"/>
    </xf>
    <xf numFmtId="49" fontId="10" fillId="0" borderId="0" xfId="0" applyNumberFormat="1" applyFont="1" applyAlignment="1">
      <alignment vertical="center"/>
    </xf>
    <xf numFmtId="49" fontId="52" fillId="0" borderId="0" xfId="0" applyNumberFormat="1" applyFont="1" applyAlignment="1">
      <alignment vertical="center"/>
    </xf>
    <xf numFmtId="166" fontId="64" fillId="31" borderId="0" xfId="2" applyNumberFormat="1" applyFont="1" applyFill="1" applyBorder="1" applyAlignment="1">
      <alignment horizontal="center" vertical="center" wrapText="1"/>
    </xf>
    <xf numFmtId="0" fontId="63" fillId="31" borderId="0" xfId="0" applyFont="1" applyFill="1" applyAlignment="1">
      <alignment vertical="center"/>
    </xf>
    <xf numFmtId="0" fontId="64" fillId="31" borderId="0" xfId="6" applyFont="1" applyFill="1" applyAlignment="1">
      <alignment horizontal="center" vertical="center" wrapText="1"/>
    </xf>
    <xf numFmtId="166" fontId="63" fillId="31" borderId="0" xfId="2" applyNumberFormat="1" applyFont="1" applyFill="1" applyBorder="1" applyAlignment="1">
      <alignment vertical="center"/>
    </xf>
    <xf numFmtId="10" fontId="63" fillId="31" borderId="0" xfId="1" applyNumberFormat="1" applyFont="1" applyFill="1" applyBorder="1" applyAlignment="1">
      <alignment vertical="center"/>
    </xf>
    <xf numFmtId="3" fontId="63" fillId="31" borderId="0" xfId="0" applyNumberFormat="1" applyFont="1" applyFill="1" applyAlignment="1">
      <alignment vertical="center"/>
    </xf>
    <xf numFmtId="166" fontId="64" fillId="31" borderId="0" xfId="2" applyNumberFormat="1" applyFont="1" applyFill="1" applyBorder="1" applyAlignment="1">
      <alignment vertical="center"/>
    </xf>
    <xf numFmtId="10" fontId="64" fillId="31" borderId="0" xfId="1" applyNumberFormat="1" applyFont="1" applyFill="1" applyBorder="1" applyAlignment="1">
      <alignment vertical="center"/>
    </xf>
    <xf numFmtId="166" fontId="38" fillId="0" borderId="0" xfId="0" applyNumberFormat="1" applyFont="1" applyAlignment="1">
      <alignment vertical="center"/>
    </xf>
    <xf numFmtId="166" fontId="39" fillId="0" borderId="0" xfId="0" applyNumberFormat="1" applyFont="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164" fontId="0" fillId="0" borderId="2" xfId="0" applyNumberFormat="1" applyBorder="1" applyAlignment="1">
      <alignment horizontal="center" vertical="center"/>
    </xf>
    <xf numFmtId="2" fontId="0" fillId="0" borderId="0" xfId="0" applyNumberFormat="1" applyAlignment="1">
      <alignment vertical="center"/>
    </xf>
    <xf numFmtId="1" fontId="10" fillId="0" borderId="0" xfId="0" applyNumberFormat="1" applyFont="1" applyAlignment="1">
      <alignment horizontal="center" vertical="center"/>
    </xf>
    <xf numFmtId="2" fontId="0" fillId="0" borderId="2" xfId="0" applyNumberFormat="1" applyBorder="1" applyAlignment="1">
      <alignment vertical="center"/>
    </xf>
    <xf numFmtId="2" fontId="10" fillId="0" borderId="28" xfId="0" applyNumberFormat="1" applyFont="1" applyBorder="1" applyAlignment="1">
      <alignment vertical="center"/>
    </xf>
    <xf numFmtId="1" fontId="0" fillId="0" borderId="2" xfId="2" applyNumberFormat="1" applyFont="1" applyBorder="1" applyAlignment="1">
      <alignment horizontal="center" vertical="center"/>
    </xf>
    <xf numFmtId="2" fontId="10" fillId="39" borderId="2" xfId="0" applyNumberFormat="1" applyFont="1" applyFill="1" applyBorder="1" applyAlignment="1">
      <alignment horizontal="center" vertical="center" wrapText="1"/>
    </xf>
    <xf numFmtId="3" fontId="10" fillId="39"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39"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Alignment="1">
      <alignment horizontal="center" vertical="center" wrapText="1"/>
    </xf>
    <xf numFmtId="167" fontId="8" fillId="0" borderId="0" xfId="299" applyNumberFormat="1" applyFont="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Alignment="1">
      <alignment horizontal="center" vertical="center" wrapText="1"/>
    </xf>
    <xf numFmtId="166" fontId="10" fillId="0" borderId="5" xfId="0" applyNumberFormat="1" applyFont="1" applyBorder="1" applyAlignment="1">
      <alignment vertical="center"/>
    </xf>
    <xf numFmtId="1" fontId="0" fillId="0" borderId="0" xfId="0" applyNumberFormat="1" applyAlignment="1">
      <alignment vertical="center"/>
    </xf>
    <xf numFmtId="0" fontId="10" fillId="2" borderId="2" xfId="0" applyFont="1" applyFill="1" applyBorder="1" applyAlignment="1">
      <alignment horizontal="center"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Alignment="1">
      <alignment vertical="center"/>
    </xf>
    <xf numFmtId="164" fontId="9" fillId="0" borderId="0" xfId="0" applyNumberFormat="1" applyFont="1" applyAlignment="1">
      <alignment vertical="center"/>
    </xf>
    <xf numFmtId="0" fontId="9" fillId="0" borderId="0" xfId="0" applyFont="1" applyAlignment="1">
      <alignment horizontal="center" vertical="center"/>
    </xf>
    <xf numFmtId="37" fontId="9" fillId="0" borderId="0" xfId="0" applyNumberFormat="1" applyFont="1" applyAlignment="1">
      <alignment vertical="center"/>
    </xf>
    <xf numFmtId="166" fontId="9" fillId="0" borderId="0" xfId="2" applyNumberFormat="1" applyFont="1" applyFill="1" applyBorder="1" applyAlignment="1">
      <alignment vertical="center"/>
    </xf>
    <xf numFmtId="0" fontId="74" fillId="0" borderId="0" xfId="0" applyFont="1" applyAlignment="1">
      <alignment vertical="center"/>
    </xf>
    <xf numFmtId="0" fontId="68" fillId="0" borderId="0" xfId="0" applyFont="1" applyAlignment="1">
      <alignment vertical="center"/>
    </xf>
    <xf numFmtId="166" fontId="0" fillId="0" borderId="2" xfId="2" applyNumberFormat="1" applyFont="1" applyBorder="1" applyAlignment="1">
      <alignment vertical="center"/>
    </xf>
    <xf numFmtId="0" fontId="10" fillId="38"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166" fontId="10" fillId="0" borderId="28" xfId="2" applyNumberFormat="1" applyFont="1" applyBorder="1"/>
    <xf numFmtId="0" fontId="50" fillId="34" borderId="2" xfId="2" applyNumberFormat="1"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Alignment="1">
      <alignment horizontal="left" vertical="top"/>
    </xf>
    <xf numFmtId="4" fontId="0" fillId="0" borderId="0" xfId="0" applyNumberFormat="1"/>
    <xf numFmtId="43" fontId="42" fillId="0" borderId="0" xfId="0" applyNumberFormat="1" applyFont="1" applyAlignment="1">
      <alignment horizontal="left" vertical="top"/>
    </xf>
    <xf numFmtId="2" fontId="39" fillId="0" borderId="2" xfId="0" applyNumberFormat="1" applyFont="1" applyBorder="1"/>
    <xf numFmtId="5" fontId="8" fillId="0" borderId="0" xfId="0" applyNumberFormat="1" applyFont="1" applyAlignment="1">
      <alignment vertical="center"/>
    </xf>
    <xf numFmtId="0" fontId="76" fillId="0" borderId="0" xfId="0" applyFont="1" applyAlignment="1">
      <alignment vertical="center"/>
    </xf>
    <xf numFmtId="0" fontId="9" fillId="0" borderId="0" xfId="0" applyFont="1" applyAlignment="1">
      <alignment vertical="center" wrapText="1"/>
    </xf>
    <xf numFmtId="0" fontId="0" fillId="0" borderId="2" xfId="0" applyBorder="1" applyAlignment="1">
      <alignment horizontal="left"/>
    </xf>
    <xf numFmtId="168" fontId="78" fillId="0" borderId="0" xfId="2" applyNumberFormat="1" applyFont="1" applyBorder="1" applyAlignment="1">
      <alignment horizontal="center" vertical="center" wrapText="1"/>
    </xf>
    <xf numFmtId="43" fontId="61" fillId="0" borderId="0" xfId="2" applyFont="1" applyBorder="1" applyAlignment="1">
      <alignment horizontal="center" vertical="center" wrapText="1"/>
    </xf>
    <xf numFmtId="165" fontId="39" fillId="0" borderId="2" xfId="0" applyNumberFormat="1" applyFont="1" applyBorder="1"/>
    <xf numFmtId="0" fontId="39" fillId="0" borderId="0" xfId="22" applyFont="1" applyAlignment="1">
      <alignment horizontal="left"/>
    </xf>
    <xf numFmtId="9" fontId="9" fillId="0" borderId="0" xfId="1" applyFont="1" applyAlignment="1">
      <alignment vertical="center"/>
    </xf>
    <xf numFmtId="9" fontId="0" fillId="0" borderId="0" xfId="1" applyFont="1" applyAlignment="1">
      <alignment vertical="center"/>
    </xf>
    <xf numFmtId="9" fontId="8" fillId="0" borderId="0" xfId="1" applyFont="1" applyAlignment="1">
      <alignment vertical="center"/>
    </xf>
    <xf numFmtId="10" fontId="8" fillId="0" borderId="0" xfId="1" applyNumberFormat="1" applyFont="1" applyAlignment="1">
      <alignment vertical="center"/>
    </xf>
    <xf numFmtId="166" fontId="8" fillId="0" borderId="2" xfId="2" applyNumberFormat="1" applyFont="1" applyBorder="1" applyAlignment="1">
      <alignment vertical="center"/>
    </xf>
    <xf numFmtId="168" fontId="10" fillId="0" borderId="33" xfId="2" applyNumberFormat="1" applyFont="1" applyBorder="1" applyAlignment="1">
      <alignment vertical="center"/>
    </xf>
    <xf numFmtId="168" fontId="10" fillId="0" borderId="34" xfId="2" applyNumberFormat="1" applyFont="1" applyBorder="1" applyAlignment="1">
      <alignment vertical="center"/>
    </xf>
    <xf numFmtId="0" fontId="0" fillId="0" borderId="7" xfId="0" applyBorder="1" applyAlignment="1">
      <alignment vertical="center"/>
    </xf>
    <xf numFmtId="166" fontId="10" fillId="0" borderId="35" xfId="2" applyNumberFormat="1" applyFont="1" applyBorder="1" applyAlignment="1">
      <alignment vertical="center"/>
    </xf>
    <xf numFmtId="0" fontId="61" fillId="0" borderId="0" xfId="0" applyFont="1" applyAlignment="1">
      <alignment horizontal="left" vertical="center" wrapText="1"/>
    </xf>
    <xf numFmtId="0" fontId="50" fillId="3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2"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2" borderId="4" xfId="0" applyFont="1" applyFill="1" applyBorder="1" applyAlignment="1">
      <alignment horizontal="center" vertical="center" wrapText="1"/>
    </xf>
    <xf numFmtId="0" fontId="10" fillId="32" borderId="5" xfId="0" applyFont="1" applyFill="1" applyBorder="1" applyAlignment="1">
      <alignment horizontal="center" vertical="center" wrapText="1"/>
    </xf>
    <xf numFmtId="0" fontId="10" fillId="32" borderId="6" xfId="0" applyFont="1" applyFill="1" applyBorder="1" applyAlignment="1">
      <alignment horizontal="center" vertical="center" wrapText="1"/>
    </xf>
    <xf numFmtId="0" fontId="50" fillId="37" borderId="2" xfId="0" applyFont="1" applyFill="1" applyBorder="1" applyAlignment="1">
      <alignment horizontal="center" vertical="center" wrapText="1"/>
    </xf>
    <xf numFmtId="0" fontId="10" fillId="33"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4" borderId="4" xfId="2" applyNumberFormat="1" applyFont="1" applyFill="1" applyBorder="1" applyAlignment="1">
      <alignment horizontal="center" vertical="center" wrapText="1"/>
    </xf>
    <xf numFmtId="166" fontId="50" fillId="34" borderId="5" xfId="2" applyNumberFormat="1" applyFont="1" applyFill="1" applyBorder="1" applyAlignment="1">
      <alignment horizontal="center" vertical="center" wrapText="1"/>
    </xf>
    <xf numFmtId="166" fontId="50" fillId="34"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3" borderId="4"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3" fontId="37" fillId="0" borderId="25" xfId="0" applyNumberFormat="1" applyFont="1" applyBorder="1" applyAlignment="1">
      <alignment horizontal="center" vertical="center"/>
    </xf>
    <xf numFmtId="0" fontId="37" fillId="0" borderId="22" xfId="0" applyFont="1" applyBorder="1" applyAlignment="1">
      <alignment horizontal="center" vertical="center"/>
    </xf>
    <xf numFmtId="3" fontId="37" fillId="0" borderId="26" xfId="0" applyNumberFormat="1" applyFont="1" applyBorder="1" applyAlignment="1">
      <alignment horizontal="center" vertical="center"/>
    </xf>
    <xf numFmtId="164" fontId="37" fillId="0" borderId="25" xfId="0" applyNumberFormat="1" applyFont="1" applyBorder="1" applyAlignment="1">
      <alignment horizontal="center" vertical="center"/>
    </xf>
    <xf numFmtId="0" fontId="10" fillId="38" borderId="7" xfId="0" applyFont="1" applyFill="1" applyBorder="1" applyAlignment="1">
      <alignment horizontal="center" vertical="center" wrapText="1"/>
    </xf>
    <xf numFmtId="0" fontId="10" fillId="38" borderId="3" xfId="0" applyFont="1" applyFill="1" applyBorder="1" applyAlignment="1">
      <alignment horizontal="center" vertical="center" wrapText="1"/>
    </xf>
    <xf numFmtId="166" fontId="65" fillId="34" borderId="31" xfId="2" applyNumberFormat="1" applyFont="1" applyFill="1" applyBorder="1" applyAlignment="1">
      <alignment horizontal="center" vertical="center" wrapText="1"/>
    </xf>
    <xf numFmtId="166" fontId="65" fillId="34" borderId="29" xfId="2" applyNumberFormat="1" applyFont="1" applyFill="1" applyBorder="1" applyAlignment="1">
      <alignment horizontal="center" vertical="center" wrapText="1"/>
    </xf>
    <xf numFmtId="166" fontId="65" fillId="34" borderId="32" xfId="2" applyNumberFormat="1" applyFont="1" applyFill="1" applyBorder="1" applyAlignment="1">
      <alignment horizontal="center" vertical="center" wrapText="1"/>
    </xf>
    <xf numFmtId="166" fontId="65" fillId="34" borderId="30" xfId="2" applyNumberFormat="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1" borderId="0" xfId="0" applyFont="1" applyFill="1" applyAlignment="1">
      <alignment horizontal="left" vertical="center" wrapText="1"/>
    </xf>
    <xf numFmtId="0" fontId="63" fillId="31" borderId="0" xfId="0" applyFont="1" applyFill="1" applyAlignment="1">
      <alignment horizontal="center" vertical="center"/>
    </xf>
  </cellXfs>
  <cellStyles count="330">
    <cellStyle name="%" xfId="283" xr:uid="{00000000-0005-0000-0000-000000000000}"/>
    <cellStyle name="20% - Accent1 2" xfId="48" xr:uid="{00000000-0005-0000-0000-000001000000}"/>
    <cellStyle name="20% - Accent1 3" xfId="49" xr:uid="{00000000-0005-0000-0000-000002000000}"/>
    <cellStyle name="20% - Accent1 4" xfId="50" xr:uid="{00000000-0005-0000-0000-000003000000}"/>
    <cellStyle name="20% - Accent1 5" xfId="51" xr:uid="{00000000-0005-0000-0000-000004000000}"/>
    <cellStyle name="20% - Accent1 6" xfId="52" xr:uid="{00000000-0005-0000-0000-000005000000}"/>
    <cellStyle name="20% - Accent1 7" xfId="329" xr:uid="{00000000-0005-0000-0000-000006000000}"/>
    <cellStyle name="20% - Accent2 2" xfId="53" xr:uid="{00000000-0005-0000-0000-000007000000}"/>
    <cellStyle name="20% - Accent2 3" xfId="54" xr:uid="{00000000-0005-0000-0000-000008000000}"/>
    <cellStyle name="20% - Accent2 4" xfId="55" xr:uid="{00000000-0005-0000-0000-000009000000}"/>
    <cellStyle name="20% - Accent2 5" xfId="56" xr:uid="{00000000-0005-0000-0000-00000A000000}"/>
    <cellStyle name="20% - Accent2 6" xfId="57" xr:uid="{00000000-0005-0000-0000-00000B000000}"/>
    <cellStyle name="20% - Accent3 2" xfId="58" xr:uid="{00000000-0005-0000-0000-00000C000000}"/>
    <cellStyle name="20% - Accent3 3" xfId="59" xr:uid="{00000000-0005-0000-0000-00000D000000}"/>
    <cellStyle name="20% - Accent3 4" xfId="60" xr:uid="{00000000-0005-0000-0000-00000E000000}"/>
    <cellStyle name="20% - Accent3 5" xfId="61" xr:uid="{00000000-0005-0000-0000-00000F000000}"/>
    <cellStyle name="20% - Accent3 6" xfId="62" xr:uid="{00000000-0005-0000-0000-000010000000}"/>
    <cellStyle name="20% - Accent3 7" xfId="326" xr:uid="{00000000-0005-0000-0000-000011000000}"/>
    <cellStyle name="20% - Accent4 2" xfId="63" xr:uid="{00000000-0005-0000-0000-000012000000}"/>
    <cellStyle name="20% - Accent4 3" xfId="64" xr:uid="{00000000-0005-0000-0000-000013000000}"/>
    <cellStyle name="20% - Accent4 4" xfId="65" xr:uid="{00000000-0005-0000-0000-000014000000}"/>
    <cellStyle name="20% - Accent4 5" xfId="66" xr:uid="{00000000-0005-0000-0000-000015000000}"/>
    <cellStyle name="20% - Accent4 6" xfId="67" xr:uid="{00000000-0005-0000-0000-000016000000}"/>
    <cellStyle name="20% - Accent5 2" xfId="68" xr:uid="{00000000-0005-0000-0000-000017000000}"/>
    <cellStyle name="20% - Accent5 3" xfId="69" xr:uid="{00000000-0005-0000-0000-000018000000}"/>
    <cellStyle name="20% - Accent5 4" xfId="70" xr:uid="{00000000-0005-0000-0000-000019000000}"/>
    <cellStyle name="20% - Accent5 5" xfId="71" xr:uid="{00000000-0005-0000-0000-00001A000000}"/>
    <cellStyle name="20% - Accent5 6" xfId="72" xr:uid="{00000000-0005-0000-0000-00001B000000}"/>
    <cellStyle name="20% - Accent6 2" xfId="73" xr:uid="{00000000-0005-0000-0000-00001C000000}"/>
    <cellStyle name="20% - Accent6 3" xfId="74" xr:uid="{00000000-0005-0000-0000-00001D000000}"/>
    <cellStyle name="20% - Accent6 4" xfId="75" xr:uid="{00000000-0005-0000-0000-00001E000000}"/>
    <cellStyle name="20% - Accent6 5" xfId="76" xr:uid="{00000000-0005-0000-0000-00001F000000}"/>
    <cellStyle name="20% - Accent6 6" xfId="77" xr:uid="{00000000-0005-0000-0000-000020000000}"/>
    <cellStyle name="20% - Accent6 7" xfId="327" xr:uid="{00000000-0005-0000-0000-000021000000}"/>
    <cellStyle name="40% - Accent1 2" xfId="78" xr:uid="{00000000-0005-0000-0000-000022000000}"/>
    <cellStyle name="40% - Accent1 3" xfId="79" xr:uid="{00000000-0005-0000-0000-000023000000}"/>
    <cellStyle name="40% - Accent1 4" xfId="80" xr:uid="{00000000-0005-0000-0000-000024000000}"/>
    <cellStyle name="40% - Accent1 5" xfId="81" xr:uid="{00000000-0005-0000-0000-000025000000}"/>
    <cellStyle name="40% - Accent1 6" xfId="82" xr:uid="{00000000-0005-0000-0000-000026000000}"/>
    <cellStyle name="40% - Accent2 2" xfId="83" xr:uid="{00000000-0005-0000-0000-000027000000}"/>
    <cellStyle name="40% - Accent2 3" xfId="84" xr:uid="{00000000-0005-0000-0000-000028000000}"/>
    <cellStyle name="40% - Accent2 4" xfId="85" xr:uid="{00000000-0005-0000-0000-000029000000}"/>
    <cellStyle name="40% - Accent2 5" xfId="86" xr:uid="{00000000-0005-0000-0000-00002A000000}"/>
    <cellStyle name="40% - Accent2 6" xfId="87" xr:uid="{00000000-0005-0000-0000-00002B000000}"/>
    <cellStyle name="40% - Accent3 2" xfId="88" xr:uid="{00000000-0005-0000-0000-00002C000000}"/>
    <cellStyle name="40% - Accent3 3" xfId="89" xr:uid="{00000000-0005-0000-0000-00002D000000}"/>
    <cellStyle name="40% - Accent3 4" xfId="90" xr:uid="{00000000-0005-0000-0000-00002E000000}"/>
    <cellStyle name="40% - Accent3 5" xfId="91" xr:uid="{00000000-0005-0000-0000-00002F000000}"/>
    <cellStyle name="40% - Accent3 6" xfId="92" xr:uid="{00000000-0005-0000-0000-000030000000}"/>
    <cellStyle name="40% - Accent4 2" xfId="93" xr:uid="{00000000-0005-0000-0000-000031000000}"/>
    <cellStyle name="40% - Accent4 3" xfId="94" xr:uid="{00000000-0005-0000-0000-000032000000}"/>
    <cellStyle name="40% - Accent4 4" xfId="95" xr:uid="{00000000-0005-0000-0000-000033000000}"/>
    <cellStyle name="40% - Accent4 5" xfId="96" xr:uid="{00000000-0005-0000-0000-000034000000}"/>
    <cellStyle name="40% - Accent4 6" xfId="97" xr:uid="{00000000-0005-0000-0000-000035000000}"/>
    <cellStyle name="40% - Accent5 2" xfId="98" xr:uid="{00000000-0005-0000-0000-000036000000}"/>
    <cellStyle name="40% - Accent5 3" xfId="99" xr:uid="{00000000-0005-0000-0000-000037000000}"/>
    <cellStyle name="40% - Accent5 4" xfId="100" xr:uid="{00000000-0005-0000-0000-000038000000}"/>
    <cellStyle name="40% - Accent5 5" xfId="101" xr:uid="{00000000-0005-0000-0000-000039000000}"/>
    <cellStyle name="40% - Accent5 6" xfId="102" xr:uid="{00000000-0005-0000-0000-00003A000000}"/>
    <cellStyle name="40% - Accent6 2" xfId="103" xr:uid="{00000000-0005-0000-0000-00003B000000}"/>
    <cellStyle name="40% - Accent6 3" xfId="104" xr:uid="{00000000-0005-0000-0000-00003C000000}"/>
    <cellStyle name="40% - Accent6 4" xfId="105" xr:uid="{00000000-0005-0000-0000-00003D000000}"/>
    <cellStyle name="40% - Accent6 5" xfId="106" xr:uid="{00000000-0005-0000-0000-00003E000000}"/>
    <cellStyle name="40% - Accent6 6" xfId="107" xr:uid="{00000000-0005-0000-0000-00003F000000}"/>
    <cellStyle name="60% - Accent1 2" xfId="108" xr:uid="{00000000-0005-0000-0000-000040000000}"/>
    <cellStyle name="60% - Accent1 3" xfId="109" xr:uid="{00000000-0005-0000-0000-000041000000}"/>
    <cellStyle name="60% - Accent1 4" xfId="110" xr:uid="{00000000-0005-0000-0000-000042000000}"/>
    <cellStyle name="60% - Accent1 5" xfId="111" xr:uid="{00000000-0005-0000-0000-000043000000}"/>
    <cellStyle name="60% - Accent1 6" xfId="112" xr:uid="{00000000-0005-0000-0000-000044000000}"/>
    <cellStyle name="60% - Accent2 2" xfId="113" xr:uid="{00000000-0005-0000-0000-000045000000}"/>
    <cellStyle name="60% - Accent2 3" xfId="114" xr:uid="{00000000-0005-0000-0000-000046000000}"/>
    <cellStyle name="60% - Accent2 4" xfId="115" xr:uid="{00000000-0005-0000-0000-000047000000}"/>
    <cellStyle name="60% - Accent2 5" xfId="116" xr:uid="{00000000-0005-0000-0000-000048000000}"/>
    <cellStyle name="60% - Accent2 6" xfId="117" xr:uid="{00000000-0005-0000-0000-000049000000}"/>
    <cellStyle name="60% - Accent3 2" xfId="118" xr:uid="{00000000-0005-0000-0000-00004A000000}"/>
    <cellStyle name="60% - Accent3 3" xfId="119" xr:uid="{00000000-0005-0000-0000-00004B000000}"/>
    <cellStyle name="60% - Accent3 4" xfId="120" xr:uid="{00000000-0005-0000-0000-00004C000000}"/>
    <cellStyle name="60% - Accent3 5" xfId="121" xr:uid="{00000000-0005-0000-0000-00004D000000}"/>
    <cellStyle name="60% - Accent3 6" xfId="122" xr:uid="{00000000-0005-0000-0000-00004E000000}"/>
    <cellStyle name="60% - Accent4 2" xfId="123" xr:uid="{00000000-0005-0000-0000-00004F000000}"/>
    <cellStyle name="60% - Accent4 3" xfId="124" xr:uid="{00000000-0005-0000-0000-000050000000}"/>
    <cellStyle name="60% - Accent4 4" xfId="125" xr:uid="{00000000-0005-0000-0000-000051000000}"/>
    <cellStyle name="60% - Accent4 5" xfId="126" xr:uid="{00000000-0005-0000-0000-000052000000}"/>
    <cellStyle name="60% - Accent4 6" xfId="127" xr:uid="{00000000-0005-0000-0000-000053000000}"/>
    <cellStyle name="60% - Accent5 2" xfId="128" xr:uid="{00000000-0005-0000-0000-000054000000}"/>
    <cellStyle name="60% - Accent5 3" xfId="129" xr:uid="{00000000-0005-0000-0000-000055000000}"/>
    <cellStyle name="60% - Accent5 4" xfId="130" xr:uid="{00000000-0005-0000-0000-000056000000}"/>
    <cellStyle name="60% - Accent5 5" xfId="131" xr:uid="{00000000-0005-0000-0000-000057000000}"/>
    <cellStyle name="60% - Accent5 6" xfId="132" xr:uid="{00000000-0005-0000-0000-000058000000}"/>
    <cellStyle name="60% - Accent6 2" xfId="133" xr:uid="{00000000-0005-0000-0000-000059000000}"/>
    <cellStyle name="60% - Accent6 3" xfId="134" xr:uid="{00000000-0005-0000-0000-00005A000000}"/>
    <cellStyle name="60% - Accent6 4" xfId="135" xr:uid="{00000000-0005-0000-0000-00005B000000}"/>
    <cellStyle name="60% - Accent6 5" xfId="136" xr:uid="{00000000-0005-0000-0000-00005C000000}"/>
    <cellStyle name="60% - Accent6 6" xfId="137" xr:uid="{00000000-0005-0000-0000-00005D000000}"/>
    <cellStyle name="Accent1 2" xfId="138" xr:uid="{00000000-0005-0000-0000-00005E000000}"/>
    <cellStyle name="Accent1 3" xfId="139" xr:uid="{00000000-0005-0000-0000-00005F000000}"/>
    <cellStyle name="Accent1 4" xfId="140" xr:uid="{00000000-0005-0000-0000-000060000000}"/>
    <cellStyle name="Accent1 5" xfId="141" xr:uid="{00000000-0005-0000-0000-000061000000}"/>
    <cellStyle name="Accent1 6" xfId="142" xr:uid="{00000000-0005-0000-0000-000062000000}"/>
    <cellStyle name="Accent2 2" xfId="143" xr:uid="{00000000-0005-0000-0000-000063000000}"/>
    <cellStyle name="Accent2 3" xfId="144" xr:uid="{00000000-0005-0000-0000-000064000000}"/>
    <cellStyle name="Accent2 4" xfId="145" xr:uid="{00000000-0005-0000-0000-000065000000}"/>
    <cellStyle name="Accent2 5" xfId="146" xr:uid="{00000000-0005-0000-0000-000066000000}"/>
    <cellStyle name="Accent2 6" xfId="147" xr:uid="{00000000-0005-0000-0000-000067000000}"/>
    <cellStyle name="Accent3 2" xfId="148" xr:uid="{00000000-0005-0000-0000-000068000000}"/>
    <cellStyle name="Accent3 3" xfId="149" xr:uid="{00000000-0005-0000-0000-000069000000}"/>
    <cellStyle name="Accent3 4" xfId="150" xr:uid="{00000000-0005-0000-0000-00006A000000}"/>
    <cellStyle name="Accent3 5" xfId="151" xr:uid="{00000000-0005-0000-0000-00006B000000}"/>
    <cellStyle name="Accent3 6" xfId="152" xr:uid="{00000000-0005-0000-0000-00006C000000}"/>
    <cellStyle name="Accent4 2" xfId="153" xr:uid="{00000000-0005-0000-0000-00006D000000}"/>
    <cellStyle name="Accent4 3" xfId="154" xr:uid="{00000000-0005-0000-0000-00006E000000}"/>
    <cellStyle name="Accent4 4" xfId="155" xr:uid="{00000000-0005-0000-0000-00006F000000}"/>
    <cellStyle name="Accent4 5" xfId="156" xr:uid="{00000000-0005-0000-0000-000070000000}"/>
    <cellStyle name="Accent4 6" xfId="157" xr:uid="{00000000-0005-0000-0000-000071000000}"/>
    <cellStyle name="Accent5 2" xfId="158" xr:uid="{00000000-0005-0000-0000-000072000000}"/>
    <cellStyle name="Accent5 3" xfId="159" xr:uid="{00000000-0005-0000-0000-000073000000}"/>
    <cellStyle name="Accent5 4" xfId="160" xr:uid="{00000000-0005-0000-0000-000074000000}"/>
    <cellStyle name="Accent5 5" xfId="161" xr:uid="{00000000-0005-0000-0000-000075000000}"/>
    <cellStyle name="Accent5 6" xfId="162" xr:uid="{00000000-0005-0000-0000-000076000000}"/>
    <cellStyle name="Accent6 2" xfId="163" xr:uid="{00000000-0005-0000-0000-000077000000}"/>
    <cellStyle name="Accent6 3" xfId="164" xr:uid="{00000000-0005-0000-0000-000078000000}"/>
    <cellStyle name="Accent6 4" xfId="165" xr:uid="{00000000-0005-0000-0000-000079000000}"/>
    <cellStyle name="Accent6 5" xfId="166" xr:uid="{00000000-0005-0000-0000-00007A000000}"/>
    <cellStyle name="Accent6 6" xfId="167" xr:uid="{00000000-0005-0000-0000-00007B000000}"/>
    <cellStyle name="Bad 2" xfId="168" xr:uid="{00000000-0005-0000-0000-00007C000000}"/>
    <cellStyle name="Bad 3" xfId="169" xr:uid="{00000000-0005-0000-0000-00007D000000}"/>
    <cellStyle name="Bad 4" xfId="170" xr:uid="{00000000-0005-0000-0000-00007E000000}"/>
    <cellStyle name="Bad 5" xfId="171" xr:uid="{00000000-0005-0000-0000-00007F000000}"/>
    <cellStyle name="Bad 6" xfId="172" xr:uid="{00000000-0005-0000-0000-000080000000}"/>
    <cellStyle name="Calculation 2" xfId="173" xr:uid="{00000000-0005-0000-0000-000081000000}"/>
    <cellStyle name="Calculation 3" xfId="174" xr:uid="{00000000-0005-0000-0000-000082000000}"/>
    <cellStyle name="Calculation 4" xfId="175" xr:uid="{00000000-0005-0000-0000-000083000000}"/>
    <cellStyle name="Calculation 5" xfId="176" xr:uid="{00000000-0005-0000-0000-000084000000}"/>
    <cellStyle name="Calculation 6" xfId="177" xr:uid="{00000000-0005-0000-0000-000085000000}"/>
    <cellStyle name="Check Cell 2" xfId="178" xr:uid="{00000000-0005-0000-0000-000086000000}"/>
    <cellStyle name="Check Cell 3" xfId="179" xr:uid="{00000000-0005-0000-0000-000087000000}"/>
    <cellStyle name="Check Cell 4" xfId="180" xr:uid="{00000000-0005-0000-0000-000088000000}"/>
    <cellStyle name="Check Cell 5" xfId="181" xr:uid="{00000000-0005-0000-0000-000089000000}"/>
    <cellStyle name="Check Cell 6" xfId="182" xr:uid="{00000000-0005-0000-0000-00008A000000}"/>
    <cellStyle name="Comma" xfId="2" builtinId="3"/>
    <cellStyle name="Comma 10" xfId="284" xr:uid="{00000000-0005-0000-0000-00008C000000}"/>
    <cellStyle name="Comma 11" xfId="295" xr:uid="{00000000-0005-0000-0000-00008D000000}"/>
    <cellStyle name="Comma 12" xfId="319" xr:uid="{00000000-0005-0000-0000-00008E000000}"/>
    <cellStyle name="Comma 2" xfId="7" xr:uid="{00000000-0005-0000-0000-00008F000000}"/>
    <cellStyle name="Comma 2 2" xfId="45" xr:uid="{00000000-0005-0000-0000-000090000000}"/>
    <cellStyle name="Comma 2 3" xfId="183" xr:uid="{00000000-0005-0000-0000-000091000000}"/>
    <cellStyle name="Comma 2 3 2" xfId="301" xr:uid="{00000000-0005-0000-0000-000092000000}"/>
    <cellStyle name="Comma 2 4" xfId="184" xr:uid="{00000000-0005-0000-0000-000093000000}"/>
    <cellStyle name="Comma 2 5" xfId="282" xr:uid="{00000000-0005-0000-0000-000094000000}"/>
    <cellStyle name="Comma 2 5 2" xfId="292" xr:uid="{00000000-0005-0000-0000-000095000000}"/>
    <cellStyle name="Comma 2 5 2 2" xfId="302" xr:uid="{00000000-0005-0000-0000-000096000000}"/>
    <cellStyle name="Comma 2 5 3" xfId="298" xr:uid="{00000000-0005-0000-0000-000097000000}"/>
    <cellStyle name="Comma 2 5 4" xfId="318" xr:uid="{00000000-0005-0000-0000-000098000000}"/>
    <cellStyle name="Comma 2 6" xfId="286" xr:uid="{00000000-0005-0000-0000-000099000000}"/>
    <cellStyle name="Comma 2 6 2" xfId="288" xr:uid="{00000000-0005-0000-0000-00009A000000}"/>
    <cellStyle name="Comma 2 6 2 2" xfId="300" xr:uid="{00000000-0005-0000-0000-00009B000000}"/>
    <cellStyle name="Comma 2 7" xfId="303" xr:uid="{00000000-0005-0000-0000-00009C000000}"/>
    <cellStyle name="Comma 3" xfId="8" xr:uid="{00000000-0005-0000-0000-00009D000000}"/>
    <cellStyle name="Comma 3 2" xfId="46" xr:uid="{00000000-0005-0000-0000-00009E000000}"/>
    <cellStyle name="Comma 3 3" xfId="304" xr:uid="{00000000-0005-0000-0000-00009F000000}"/>
    <cellStyle name="Comma 37" xfId="293" xr:uid="{00000000-0005-0000-0000-0000A0000000}"/>
    <cellStyle name="Comma 4" xfId="9" xr:uid="{00000000-0005-0000-0000-0000A1000000}"/>
    <cellStyle name="Comma 4 2" xfId="185" xr:uid="{00000000-0005-0000-0000-0000A2000000}"/>
    <cellStyle name="Comma 4 3" xfId="305" xr:uid="{00000000-0005-0000-0000-0000A3000000}"/>
    <cellStyle name="Comma 5" xfId="10" xr:uid="{00000000-0005-0000-0000-0000A4000000}"/>
    <cellStyle name="Comma 5 2" xfId="186" xr:uid="{00000000-0005-0000-0000-0000A5000000}"/>
    <cellStyle name="Comma 5 3" xfId="187" xr:uid="{00000000-0005-0000-0000-0000A6000000}"/>
    <cellStyle name="Comma 6" xfId="188" xr:uid="{00000000-0005-0000-0000-0000A7000000}"/>
    <cellStyle name="Comma 7" xfId="189" xr:uid="{00000000-0005-0000-0000-0000A8000000}"/>
    <cellStyle name="Comma 8" xfId="190" xr:uid="{00000000-0005-0000-0000-0000A9000000}"/>
    <cellStyle name="Comma 9" xfId="47" xr:uid="{00000000-0005-0000-0000-0000AA000000}"/>
    <cellStyle name="Comma0" xfId="191" xr:uid="{00000000-0005-0000-0000-0000AB000000}"/>
    <cellStyle name="Currency" xfId="3" builtinId="4"/>
    <cellStyle name="Currency 2" xfId="11" xr:uid="{00000000-0005-0000-0000-0000AD000000}"/>
    <cellStyle name="Currency 2 2" xfId="306" xr:uid="{00000000-0005-0000-0000-0000AE000000}"/>
    <cellStyle name="Currency 3" xfId="192" xr:uid="{00000000-0005-0000-0000-0000AF000000}"/>
    <cellStyle name="Currency 3 2" xfId="193" xr:uid="{00000000-0005-0000-0000-0000B0000000}"/>
    <cellStyle name="Currency 4" xfId="290" xr:uid="{00000000-0005-0000-0000-0000B1000000}"/>
    <cellStyle name="Currency 4 2" xfId="307" xr:uid="{00000000-0005-0000-0000-0000B2000000}"/>
    <cellStyle name="Currency 5" xfId="296" xr:uid="{00000000-0005-0000-0000-0000B3000000}"/>
    <cellStyle name="Explanatory Text 2" xfId="194" xr:uid="{00000000-0005-0000-0000-0000B4000000}"/>
    <cellStyle name="Explanatory Text 3" xfId="195" xr:uid="{00000000-0005-0000-0000-0000B5000000}"/>
    <cellStyle name="Explanatory Text 4" xfId="196" xr:uid="{00000000-0005-0000-0000-0000B6000000}"/>
    <cellStyle name="Explanatory Text 5" xfId="197" xr:uid="{00000000-0005-0000-0000-0000B7000000}"/>
    <cellStyle name="Explanatory Text 6" xfId="198" xr:uid="{00000000-0005-0000-0000-0000B8000000}"/>
    <cellStyle name="Good 2" xfId="199" xr:uid="{00000000-0005-0000-0000-0000B9000000}"/>
    <cellStyle name="Good 3" xfId="200" xr:uid="{00000000-0005-0000-0000-0000BA000000}"/>
    <cellStyle name="Good 4" xfId="201" xr:uid="{00000000-0005-0000-0000-0000BB000000}"/>
    <cellStyle name="Good 5" xfId="202" xr:uid="{00000000-0005-0000-0000-0000BC000000}"/>
    <cellStyle name="Good 6" xfId="203" xr:uid="{00000000-0005-0000-0000-0000BD000000}"/>
    <cellStyle name="Heading 1 2" xfId="204" xr:uid="{00000000-0005-0000-0000-0000BE000000}"/>
    <cellStyle name="Heading 1 3" xfId="205" xr:uid="{00000000-0005-0000-0000-0000BF000000}"/>
    <cellStyle name="Heading 1 4" xfId="206" xr:uid="{00000000-0005-0000-0000-0000C0000000}"/>
    <cellStyle name="Heading 1 5" xfId="207" xr:uid="{00000000-0005-0000-0000-0000C1000000}"/>
    <cellStyle name="Heading 1 6" xfId="208" xr:uid="{00000000-0005-0000-0000-0000C2000000}"/>
    <cellStyle name="Heading 2 2" xfId="209" xr:uid="{00000000-0005-0000-0000-0000C3000000}"/>
    <cellStyle name="Heading 2 3" xfId="210" xr:uid="{00000000-0005-0000-0000-0000C4000000}"/>
    <cellStyle name="Heading 2 4" xfId="211" xr:uid="{00000000-0005-0000-0000-0000C5000000}"/>
    <cellStyle name="Heading 2 5" xfId="212" xr:uid="{00000000-0005-0000-0000-0000C6000000}"/>
    <cellStyle name="Heading 2 6" xfId="213" xr:uid="{00000000-0005-0000-0000-0000C7000000}"/>
    <cellStyle name="Heading 3 2" xfId="214" xr:uid="{00000000-0005-0000-0000-0000C8000000}"/>
    <cellStyle name="Heading 3 3" xfId="215" xr:uid="{00000000-0005-0000-0000-0000C9000000}"/>
    <cellStyle name="Heading 3 4" xfId="216" xr:uid="{00000000-0005-0000-0000-0000CA000000}"/>
    <cellStyle name="Heading 3 5" xfId="217" xr:uid="{00000000-0005-0000-0000-0000CB000000}"/>
    <cellStyle name="Heading 3 6" xfId="218" xr:uid="{00000000-0005-0000-0000-0000CC000000}"/>
    <cellStyle name="Heading 4 2" xfId="219" xr:uid="{00000000-0005-0000-0000-0000CD000000}"/>
    <cellStyle name="Heading 4 3" xfId="220" xr:uid="{00000000-0005-0000-0000-0000CE000000}"/>
    <cellStyle name="Heading 4 4" xfId="221" xr:uid="{00000000-0005-0000-0000-0000CF000000}"/>
    <cellStyle name="Heading 4 5" xfId="222" xr:uid="{00000000-0005-0000-0000-0000D0000000}"/>
    <cellStyle name="Heading 4 6" xfId="223" xr:uid="{00000000-0005-0000-0000-0000D1000000}"/>
    <cellStyle name="Input 2" xfId="224" xr:uid="{00000000-0005-0000-0000-0000D2000000}"/>
    <cellStyle name="Input 3" xfId="225" xr:uid="{00000000-0005-0000-0000-0000D3000000}"/>
    <cellStyle name="Input 4" xfId="226" xr:uid="{00000000-0005-0000-0000-0000D4000000}"/>
    <cellStyle name="Input 5" xfId="227" xr:uid="{00000000-0005-0000-0000-0000D5000000}"/>
    <cellStyle name="Input 6" xfId="228" xr:uid="{00000000-0005-0000-0000-0000D6000000}"/>
    <cellStyle name="Linked Cell 2" xfId="229" xr:uid="{00000000-0005-0000-0000-0000D7000000}"/>
    <cellStyle name="Linked Cell 3" xfId="230" xr:uid="{00000000-0005-0000-0000-0000D8000000}"/>
    <cellStyle name="Linked Cell 4" xfId="231" xr:uid="{00000000-0005-0000-0000-0000D9000000}"/>
    <cellStyle name="Linked Cell 5" xfId="232" xr:uid="{00000000-0005-0000-0000-0000DA000000}"/>
    <cellStyle name="Linked Cell 6" xfId="233" xr:uid="{00000000-0005-0000-0000-0000DB000000}"/>
    <cellStyle name="Neutral 2" xfId="234" xr:uid="{00000000-0005-0000-0000-0000DC000000}"/>
    <cellStyle name="Neutral 3" xfId="235" xr:uid="{00000000-0005-0000-0000-0000DD000000}"/>
    <cellStyle name="Neutral 4" xfId="236" xr:uid="{00000000-0005-0000-0000-0000DE000000}"/>
    <cellStyle name="Neutral 5" xfId="237" xr:uid="{00000000-0005-0000-0000-0000DF000000}"/>
    <cellStyle name="Neutral 6" xfId="238" xr:uid="{00000000-0005-0000-0000-0000E0000000}"/>
    <cellStyle name="Normal" xfId="0" builtinId="0"/>
    <cellStyle name="Normal 10" xfId="12" xr:uid="{00000000-0005-0000-0000-0000E2000000}"/>
    <cellStyle name="Normal 10 2" xfId="308" xr:uid="{00000000-0005-0000-0000-0000E3000000}"/>
    <cellStyle name="Normal 11" xfId="13" xr:uid="{00000000-0005-0000-0000-0000E4000000}"/>
    <cellStyle name="Normal 11 2" xfId="309" xr:uid="{00000000-0005-0000-0000-0000E5000000}"/>
    <cellStyle name="Normal 12" xfId="14" xr:uid="{00000000-0005-0000-0000-0000E6000000}"/>
    <cellStyle name="Normal 12 2" xfId="310" xr:uid="{00000000-0005-0000-0000-0000E7000000}"/>
    <cellStyle name="Normal 13" xfId="15" xr:uid="{00000000-0005-0000-0000-0000E8000000}"/>
    <cellStyle name="Normal 14" xfId="16" xr:uid="{00000000-0005-0000-0000-0000E9000000}"/>
    <cellStyle name="Normal 15" xfId="17" xr:uid="{00000000-0005-0000-0000-0000EA000000}"/>
    <cellStyle name="Normal 16" xfId="18" xr:uid="{00000000-0005-0000-0000-0000EB000000}"/>
    <cellStyle name="Normal 17" xfId="19" xr:uid="{00000000-0005-0000-0000-0000EC000000}"/>
    <cellStyle name="Normal 18" xfId="20" xr:uid="{00000000-0005-0000-0000-0000ED000000}"/>
    <cellStyle name="Normal 19" xfId="21" xr:uid="{00000000-0005-0000-0000-0000EE000000}"/>
    <cellStyle name="Normal 2" xfId="6" xr:uid="{00000000-0005-0000-0000-0000EF000000}"/>
    <cellStyle name="Normal 2 2" xfId="22" xr:uid="{00000000-0005-0000-0000-0000F0000000}"/>
    <cellStyle name="Normal 2 2 2" xfId="311" xr:uid="{00000000-0005-0000-0000-0000F1000000}"/>
    <cellStyle name="Normal 2 3" xfId="239" xr:uid="{00000000-0005-0000-0000-0000F2000000}"/>
    <cellStyle name="Normal 2 4" xfId="240" xr:uid="{00000000-0005-0000-0000-0000F3000000}"/>
    <cellStyle name="Normal 2 4 2" xfId="320" xr:uid="{00000000-0005-0000-0000-0000F4000000}"/>
    <cellStyle name="Normal 2 5" xfId="281" xr:uid="{00000000-0005-0000-0000-0000F5000000}"/>
    <cellStyle name="Normal 2 5 2" xfId="291" xr:uid="{00000000-0005-0000-0000-0000F6000000}"/>
    <cellStyle name="Normal 2 5 3" xfId="297" xr:uid="{00000000-0005-0000-0000-0000F7000000}"/>
    <cellStyle name="Normal 2 6" xfId="285" xr:uid="{00000000-0005-0000-0000-0000F8000000}"/>
    <cellStyle name="Normal 2 6 2" xfId="287" xr:uid="{00000000-0005-0000-0000-0000F9000000}"/>
    <cellStyle name="Normal 2 6 2 2" xfId="299" xr:uid="{00000000-0005-0000-0000-0000FA000000}"/>
    <cellStyle name="Normal 2 7" xfId="312" xr:uid="{00000000-0005-0000-0000-0000FB000000}"/>
    <cellStyle name="Normal 2 8" xfId="328" xr:uid="{00000000-0005-0000-0000-0000FC000000}"/>
    <cellStyle name="Normal 20" xfId="23" xr:uid="{00000000-0005-0000-0000-0000FD000000}"/>
    <cellStyle name="Normal 21" xfId="24" xr:uid="{00000000-0005-0000-0000-0000FE000000}"/>
    <cellStyle name="Normal 22" xfId="25" xr:uid="{00000000-0005-0000-0000-0000FF000000}"/>
    <cellStyle name="Normal 23" xfId="26" xr:uid="{00000000-0005-0000-0000-000000010000}"/>
    <cellStyle name="Normal 24" xfId="27" xr:uid="{00000000-0005-0000-0000-000001010000}"/>
    <cellStyle name="Normal 25" xfId="28" xr:uid="{00000000-0005-0000-0000-000002010000}"/>
    <cellStyle name="Normal 26" xfId="29" xr:uid="{00000000-0005-0000-0000-000003010000}"/>
    <cellStyle name="Normal 27" xfId="30" xr:uid="{00000000-0005-0000-0000-000004010000}"/>
    <cellStyle name="Normal 28" xfId="31" xr:uid="{00000000-0005-0000-0000-000005010000}"/>
    <cellStyle name="Normal 29" xfId="32" xr:uid="{00000000-0005-0000-0000-000006010000}"/>
    <cellStyle name="Normal 3" xfId="5" xr:uid="{00000000-0005-0000-0000-000007010000}"/>
    <cellStyle name="Normal 3 2" xfId="241" xr:uid="{00000000-0005-0000-0000-000008010000}"/>
    <cellStyle name="Normal 3 3" xfId="242" xr:uid="{00000000-0005-0000-0000-000009010000}"/>
    <cellStyle name="Normal 3 4" xfId="243" xr:uid="{00000000-0005-0000-0000-00000A010000}"/>
    <cellStyle name="Normal 3 5" xfId="313" xr:uid="{00000000-0005-0000-0000-00000B010000}"/>
    <cellStyle name="Normal 30" xfId="33" xr:uid="{00000000-0005-0000-0000-00000C010000}"/>
    <cellStyle name="Normal 31" xfId="34" xr:uid="{00000000-0005-0000-0000-00000D010000}"/>
    <cellStyle name="Normal 32" xfId="35" xr:uid="{00000000-0005-0000-0000-00000E010000}"/>
    <cellStyle name="Normal 33" xfId="36" xr:uid="{00000000-0005-0000-0000-00000F010000}"/>
    <cellStyle name="Normal 34" xfId="37" xr:uid="{00000000-0005-0000-0000-000010010000}"/>
    <cellStyle name="Normal 35" xfId="294" xr:uid="{00000000-0005-0000-0000-000011010000}"/>
    <cellStyle name="Normal 36" xfId="321" xr:uid="{00000000-0005-0000-0000-000012010000}"/>
    <cellStyle name="Normal 37" xfId="322" xr:uid="{00000000-0005-0000-0000-000013010000}"/>
    <cellStyle name="Normal 38" xfId="323" xr:uid="{00000000-0005-0000-0000-000014010000}"/>
    <cellStyle name="Normal 39" xfId="324" xr:uid="{00000000-0005-0000-0000-000015010000}"/>
    <cellStyle name="Normal 4" xfId="4" xr:uid="{00000000-0005-0000-0000-000016010000}"/>
    <cellStyle name="Normal 4 2" xfId="244" xr:uid="{00000000-0005-0000-0000-000017010000}"/>
    <cellStyle name="Normal 4_STCIMF TCTF Handout v3" xfId="245" xr:uid="{00000000-0005-0000-0000-000018010000}"/>
    <cellStyle name="Normal 5" xfId="38" xr:uid="{00000000-0005-0000-0000-000019010000}"/>
    <cellStyle name="Normal 6" xfId="39" xr:uid="{00000000-0005-0000-0000-00001A010000}"/>
    <cellStyle name="Normal 7" xfId="40" xr:uid="{00000000-0005-0000-0000-00001B010000}"/>
    <cellStyle name="Normal 7 2" xfId="246" xr:uid="{00000000-0005-0000-0000-00001C010000}"/>
    <cellStyle name="Normal 8" xfId="41" xr:uid="{00000000-0005-0000-0000-00001D010000}"/>
    <cellStyle name="Normal 8 2" xfId="247" xr:uid="{00000000-0005-0000-0000-00001E010000}"/>
    <cellStyle name="Normal 9" xfId="42" xr:uid="{00000000-0005-0000-0000-00001F010000}"/>
    <cellStyle name="Note 2" xfId="248" xr:uid="{00000000-0005-0000-0000-000020010000}"/>
    <cellStyle name="Note 3" xfId="249" xr:uid="{00000000-0005-0000-0000-000021010000}"/>
    <cellStyle name="Note 4" xfId="250" xr:uid="{00000000-0005-0000-0000-000022010000}"/>
    <cellStyle name="Note 5" xfId="251" xr:uid="{00000000-0005-0000-0000-000023010000}"/>
    <cellStyle name="Note 6" xfId="252" xr:uid="{00000000-0005-0000-0000-000024010000}"/>
    <cellStyle name="Output 2" xfId="253" xr:uid="{00000000-0005-0000-0000-000025010000}"/>
    <cellStyle name="Output 3" xfId="254" xr:uid="{00000000-0005-0000-0000-000026010000}"/>
    <cellStyle name="Output 4" xfId="255" xr:uid="{00000000-0005-0000-0000-000027010000}"/>
    <cellStyle name="Output 5" xfId="256" xr:uid="{00000000-0005-0000-0000-000028010000}"/>
    <cellStyle name="Output 6" xfId="257" xr:uid="{00000000-0005-0000-0000-000029010000}"/>
    <cellStyle name="Output Amounts" xfId="258" xr:uid="{00000000-0005-0000-0000-00002A010000}"/>
    <cellStyle name="Output Column Headings" xfId="259" xr:uid="{00000000-0005-0000-0000-00002B010000}"/>
    <cellStyle name="Output Line Items" xfId="260" xr:uid="{00000000-0005-0000-0000-00002C010000}"/>
    <cellStyle name="Output Report Heading" xfId="261" xr:uid="{00000000-0005-0000-0000-00002D010000}"/>
    <cellStyle name="Output Report Title" xfId="262" xr:uid="{00000000-0005-0000-0000-00002E010000}"/>
    <cellStyle name="Percent" xfId="1" builtinId="5"/>
    <cellStyle name="Percent 2" xfId="43" xr:uid="{00000000-0005-0000-0000-000030010000}"/>
    <cellStyle name="Percent 2 2" xfId="263" xr:uid="{00000000-0005-0000-0000-000031010000}"/>
    <cellStyle name="Percent 2 3" xfId="264" xr:uid="{00000000-0005-0000-0000-000032010000}"/>
    <cellStyle name="Percent 2 4" xfId="289" xr:uid="{00000000-0005-0000-0000-000033010000}"/>
    <cellStyle name="Percent 3" xfId="44" xr:uid="{00000000-0005-0000-0000-000034010000}"/>
    <cellStyle name="Percent 3 2" xfId="314" xr:uid="{00000000-0005-0000-0000-000035010000}"/>
    <cellStyle name="Percent 4" xfId="265" xr:uid="{00000000-0005-0000-0000-000036010000}"/>
    <cellStyle name="Percent 4 2" xfId="315" xr:uid="{00000000-0005-0000-0000-000037010000}"/>
    <cellStyle name="Percent 5" xfId="316" xr:uid="{00000000-0005-0000-0000-000038010000}"/>
    <cellStyle name="Percent 6" xfId="317" xr:uid="{00000000-0005-0000-0000-000039010000}"/>
    <cellStyle name="Percent 7" xfId="325" xr:uid="{00000000-0005-0000-0000-00003A010000}"/>
    <cellStyle name="Title 2" xfId="266" xr:uid="{00000000-0005-0000-0000-00003B010000}"/>
    <cellStyle name="Title 3" xfId="267" xr:uid="{00000000-0005-0000-0000-00003C010000}"/>
    <cellStyle name="Title 4" xfId="268" xr:uid="{00000000-0005-0000-0000-00003D010000}"/>
    <cellStyle name="Title 5" xfId="269" xr:uid="{00000000-0005-0000-0000-00003E010000}"/>
    <cellStyle name="Title 6" xfId="270" xr:uid="{00000000-0005-0000-0000-00003F010000}"/>
    <cellStyle name="Total 2" xfId="271" xr:uid="{00000000-0005-0000-0000-000040010000}"/>
    <cellStyle name="Total 3" xfId="272" xr:uid="{00000000-0005-0000-0000-000041010000}"/>
    <cellStyle name="Total 4" xfId="273" xr:uid="{00000000-0005-0000-0000-000042010000}"/>
    <cellStyle name="Total 5" xfId="274" xr:uid="{00000000-0005-0000-0000-000043010000}"/>
    <cellStyle name="Total 6" xfId="275" xr:uid="{00000000-0005-0000-0000-000044010000}"/>
    <cellStyle name="Warning Text 2" xfId="276" xr:uid="{00000000-0005-0000-0000-000045010000}"/>
    <cellStyle name="Warning Text 3" xfId="277" xr:uid="{00000000-0005-0000-0000-000046010000}"/>
    <cellStyle name="Warning Text 4" xfId="278" xr:uid="{00000000-0005-0000-0000-000047010000}"/>
    <cellStyle name="Warning Text 5" xfId="279" xr:uid="{00000000-0005-0000-0000-000048010000}"/>
    <cellStyle name="Warning Text 6" xfId="280" xr:uid="{00000000-0005-0000-0000-000049010000}"/>
  </cellStyles>
  <dxfs count="4">
    <dxf>
      <font>
        <condense val="0"/>
        <extend val="0"/>
        <color rgb="FF9C0006"/>
      </font>
      <fill>
        <patternFill>
          <bgColor rgb="FFFFC7CE"/>
        </patternFill>
      </fill>
    </dxf>
    <dxf>
      <fill>
        <patternFill>
          <bgColor theme="9" tint="0.59996337778862885"/>
        </patternFill>
      </fill>
    </dxf>
    <dxf>
      <fill>
        <patternFill>
          <bgColor theme="8"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jcc\aocdata\divisions\BMS\OCR\Data\BLS\3YR%20AVG%20BLS%2021-23\3YR%20AVG%20BLS%2021-23_Output.xls" TargetMode="External"/><Relationship Id="rId1" Type="http://schemas.openxmlformats.org/officeDocument/2006/relationships/externalLinkPath" Target="file:///\\jcc\aocdata\divisions\BMS\OCR\Data\BLS\3YR%20AVG%20BLS%2021-23\3YR%20AVG%20BLS%2021-23_Output.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G:\BMS\OCR\Workload%20Formula\Workload%20Formula%20Allocations\2025-26\WF%20Need%20Support%20Data%20for%20RAD%202025-26%20update%202025.04.21.xlsx" TargetMode="External"/><Relationship Id="rId1" Type="http://schemas.openxmlformats.org/officeDocument/2006/relationships/externalLinkPath" Target="file:///G:\BMS\OCR\Workload%20Formula\Workload%20Formula%20Allocations\2025-26\WF%20Need%20Support%20Data%20for%20RAD%202025-26%20update%202025.04.2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jcc\aocdata\divisions\BMS\OCR\Workload%20Formula\Workload%20Formula%20Allocations\2025-26\FY23-24_AB1058%20Expenditures.xlsx" TargetMode="External"/><Relationship Id="rId1" Type="http://schemas.openxmlformats.org/officeDocument/2006/relationships/externalLinkPath" Target="file:///G:\BMS\OCR\Workload%20Formula\Workload%20Formula%20Allocations\2025-26\FY23-24_AB1058%20Expendit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ummary"/>
    </sheetNames>
    <sheetDataSet>
      <sheetData sheetId="0"/>
      <sheetData sheetId="1">
        <row r="2">
          <cell r="A2" t="str">
            <v>Alameda</v>
          </cell>
          <cell r="B2">
            <v>0.25214338302612305</v>
          </cell>
          <cell r="C2">
            <v>0.74785661697387695</v>
          </cell>
          <cell r="D2" t="str">
            <v>no</v>
          </cell>
          <cell r="E2">
            <v>1.4918348789215088</v>
          </cell>
          <cell r="F2">
            <v>1.4916231632232666</v>
          </cell>
          <cell r="G2">
            <v>1.4917290210723877</v>
          </cell>
        </row>
        <row r="3">
          <cell r="A3" t="str">
            <v>Alpine</v>
          </cell>
          <cell r="B3">
            <v>7.42049440741539E-2</v>
          </cell>
          <cell r="C3">
            <v>0.92579507827758789</v>
          </cell>
          <cell r="D3" t="str">
            <v>no</v>
          </cell>
          <cell r="E3">
            <v>0.68242835998535156</v>
          </cell>
          <cell r="F3">
            <v>0.77512019872665405</v>
          </cell>
          <cell r="G3">
            <v>0.7287743091583252</v>
          </cell>
        </row>
        <row r="4">
          <cell r="A4" t="str">
            <v>Amador</v>
          </cell>
          <cell r="B4">
            <v>0.70775687694549561</v>
          </cell>
          <cell r="C4">
            <v>0.29224309325218201</v>
          </cell>
          <cell r="D4" t="str">
            <v>yes</v>
          </cell>
          <cell r="E4">
            <v>0.97857791185379028</v>
          </cell>
          <cell r="F4">
            <v>0.93760156631469727</v>
          </cell>
          <cell r="G4">
            <v>0.95808970928192139</v>
          </cell>
        </row>
        <row r="5">
          <cell r="A5" t="str">
            <v>Butte</v>
          </cell>
          <cell r="B5">
            <v>0.20615953207015991</v>
          </cell>
          <cell r="C5">
            <v>0.79384046792984009</v>
          </cell>
          <cell r="D5" t="str">
            <v>no</v>
          </cell>
          <cell r="E5">
            <v>0.91721731424331665</v>
          </cell>
          <cell r="F5">
            <v>0.87273114919662476</v>
          </cell>
          <cell r="G5">
            <v>0.8949742317199707</v>
          </cell>
        </row>
        <row r="6">
          <cell r="A6" t="str">
            <v>Calaveras</v>
          </cell>
          <cell r="B6">
            <v>0.37603521347045898</v>
          </cell>
          <cell r="C6">
            <v>0.62396484613418579</v>
          </cell>
          <cell r="D6" t="str">
            <v>no</v>
          </cell>
          <cell r="E6">
            <v>0.78993779420852661</v>
          </cell>
          <cell r="F6">
            <v>0.84809130430221558</v>
          </cell>
          <cell r="G6">
            <v>0.81901454925537109</v>
          </cell>
        </row>
        <row r="7">
          <cell r="A7" t="str">
            <v>Colusa</v>
          </cell>
          <cell r="B7">
            <v>5.009392648935318E-2</v>
          </cell>
          <cell r="C7">
            <v>0.9499061107635498</v>
          </cell>
          <cell r="D7" t="str">
            <v>no</v>
          </cell>
          <cell r="E7">
            <v>0.71279019117355347</v>
          </cell>
          <cell r="F7">
            <v>0.73545956611633301</v>
          </cell>
          <cell r="G7">
            <v>0.72412490844726563</v>
          </cell>
        </row>
        <row r="8">
          <cell r="A8" t="str">
            <v>Contra Costa</v>
          </cell>
          <cell r="B8">
            <v>5.2643410861492157E-2</v>
          </cell>
          <cell r="C8">
            <v>0.94735658168792725</v>
          </cell>
          <cell r="D8" t="str">
            <v>no</v>
          </cell>
          <cell r="E8">
            <v>1.0524636507034302</v>
          </cell>
          <cell r="F8">
            <v>1.3317590951919556</v>
          </cell>
          <cell r="G8">
            <v>1.1921113729476929</v>
          </cell>
        </row>
        <row r="9">
          <cell r="A9" t="str">
            <v>Del Norte</v>
          </cell>
          <cell r="B9">
            <v>0.64188164472579956</v>
          </cell>
          <cell r="C9">
            <v>0.35811835527420044</v>
          </cell>
          <cell r="D9" t="str">
            <v>yes</v>
          </cell>
          <cell r="E9">
            <v>0.83017390966415405</v>
          </cell>
          <cell r="F9">
            <v>0.67190259695053101</v>
          </cell>
          <cell r="G9">
            <v>0.75103825330734253</v>
          </cell>
        </row>
        <row r="10">
          <cell r="A10" t="str">
            <v>El Dorado</v>
          </cell>
          <cell r="B10">
            <v>0.14790287613868713</v>
          </cell>
          <cell r="C10">
            <v>0.85209715366363525</v>
          </cell>
          <cell r="D10" t="str">
            <v>no</v>
          </cell>
          <cell r="E10">
            <v>0.98743605613708496</v>
          </cell>
          <cell r="F10">
            <v>1.1130379438400269</v>
          </cell>
          <cell r="G10">
            <v>1.0502369403839111</v>
          </cell>
        </row>
        <row r="11">
          <cell r="A11" t="str">
            <v>Fresno</v>
          </cell>
          <cell r="B11">
            <v>0.32265663146972656</v>
          </cell>
          <cell r="C11">
            <v>0.67734330892562866</v>
          </cell>
          <cell r="D11" t="str">
            <v>no</v>
          </cell>
          <cell r="E11">
            <v>1.1364377737045288</v>
          </cell>
          <cell r="F11">
            <v>0.94079649448394775</v>
          </cell>
          <cell r="G11">
            <v>1.0386171340942383</v>
          </cell>
        </row>
        <row r="12">
          <cell r="A12" t="str">
            <v>Glenn</v>
          </cell>
          <cell r="B12">
            <v>3.7023045122623444E-2</v>
          </cell>
          <cell r="C12">
            <v>0.96297693252563477</v>
          </cell>
          <cell r="D12" t="str">
            <v>no</v>
          </cell>
          <cell r="E12">
            <v>0.99916970729827881</v>
          </cell>
          <cell r="F12">
            <v>0.76542162895202637</v>
          </cell>
          <cell r="G12">
            <v>0.88229566812515259</v>
          </cell>
        </row>
        <row r="13">
          <cell r="A13" t="str">
            <v>Humboldt</v>
          </cell>
          <cell r="B13">
            <v>0.2609429657459259</v>
          </cell>
          <cell r="C13">
            <v>0.73905700445175171</v>
          </cell>
          <cell r="D13" t="str">
            <v>no</v>
          </cell>
          <cell r="E13">
            <v>1.1173908710479736</v>
          </cell>
          <cell r="F13">
            <v>0.74500995874404907</v>
          </cell>
          <cell r="G13">
            <v>0.93120038509368896</v>
          </cell>
        </row>
        <row r="14">
          <cell r="A14" t="str">
            <v>Imperial</v>
          </cell>
          <cell r="B14">
            <v>0.4821547269821167</v>
          </cell>
          <cell r="C14">
            <v>0.51784533262252808</v>
          </cell>
          <cell r="D14" t="str">
            <v>no</v>
          </cell>
          <cell r="E14">
            <v>0.86055934429168701</v>
          </cell>
          <cell r="F14">
            <v>0.7009735107421875</v>
          </cell>
          <cell r="G14">
            <v>0.78076642751693726</v>
          </cell>
        </row>
        <row r="15">
          <cell r="A15" t="str">
            <v>Inyo</v>
          </cell>
          <cell r="B15">
            <v>0.32064777612686157</v>
          </cell>
          <cell r="C15">
            <v>0.67935222387313843</v>
          </cell>
          <cell r="D15" t="str">
            <v>no</v>
          </cell>
          <cell r="E15">
            <v>1.0844842195510864</v>
          </cell>
          <cell r="F15">
            <v>0.78939062356948853</v>
          </cell>
          <cell r="G15">
            <v>0.93693745136260986</v>
          </cell>
        </row>
        <row r="16">
          <cell r="A16" t="str">
            <v>Kern</v>
          </cell>
          <cell r="B16">
            <v>0.42134538292884827</v>
          </cell>
          <cell r="C16">
            <v>0.57865458726882935</v>
          </cell>
          <cell r="D16" t="str">
            <v>no</v>
          </cell>
          <cell r="E16">
            <v>0.997170090675354</v>
          </cell>
          <cell r="F16">
            <v>0.9278373122215271</v>
          </cell>
          <cell r="G16">
            <v>0.96250367164611816</v>
          </cell>
        </row>
        <row r="17">
          <cell r="A17" t="str">
            <v>Kings</v>
          </cell>
          <cell r="B17">
            <v>0.64721405506134033</v>
          </cell>
          <cell r="C17">
            <v>0.35278588533401489</v>
          </cell>
          <cell r="D17" t="str">
            <v>yes</v>
          </cell>
          <cell r="E17">
            <v>0.83114522695541382</v>
          </cell>
          <cell r="F17">
            <v>0.8341408371925354</v>
          </cell>
          <cell r="G17">
            <v>0.83264303207397461</v>
          </cell>
        </row>
        <row r="18">
          <cell r="A18" t="str">
            <v>Lake</v>
          </cell>
          <cell r="B18">
            <v>5.0196852535009384E-2</v>
          </cell>
          <cell r="C18">
            <v>0.94980317354202271</v>
          </cell>
          <cell r="D18" t="str">
            <v>no</v>
          </cell>
          <cell r="E18">
            <v>0.82437968254089355</v>
          </cell>
          <cell r="F18">
            <v>0.76537024974822998</v>
          </cell>
          <cell r="G18">
            <v>0.79487496614456177</v>
          </cell>
        </row>
        <row r="19">
          <cell r="A19" t="str">
            <v>Lassen</v>
          </cell>
          <cell r="B19">
            <v>0.79586124420166016</v>
          </cell>
          <cell r="C19">
            <v>0.20413877069950104</v>
          </cell>
          <cell r="D19" t="str">
            <v>yes</v>
          </cell>
          <cell r="E19">
            <v>0.88219398260116577</v>
          </cell>
          <cell r="F19">
            <v>0.70369124412536621</v>
          </cell>
          <cell r="G19">
            <v>0.79294264316558838</v>
          </cell>
        </row>
        <row r="20">
          <cell r="A20" t="str">
            <v>Los Angeles</v>
          </cell>
          <cell r="B20">
            <v>9.8441340029239655E-2</v>
          </cell>
          <cell r="C20">
            <v>0.90155869722366333</v>
          </cell>
          <cell r="D20" t="str">
            <v>no</v>
          </cell>
          <cell r="E20">
            <v>1.2862502336502075</v>
          </cell>
          <cell r="F20">
            <v>1.3697676658630371</v>
          </cell>
          <cell r="G20">
            <v>1.3280088901519775</v>
          </cell>
        </row>
        <row r="21">
          <cell r="A21" t="str">
            <v>Madera</v>
          </cell>
          <cell r="B21">
            <v>0.56210559606552124</v>
          </cell>
          <cell r="C21">
            <v>0.43789443373680115</v>
          </cell>
          <cell r="D21" t="str">
            <v>yes</v>
          </cell>
          <cell r="E21">
            <v>0.98606842756271362</v>
          </cell>
          <cell r="F21">
            <v>0.82327741384506226</v>
          </cell>
          <cell r="G21">
            <v>0.90467292070388794</v>
          </cell>
        </row>
        <row r="22">
          <cell r="A22" t="str">
            <v>Marin</v>
          </cell>
          <cell r="B22">
            <v>0.32652944326400757</v>
          </cell>
          <cell r="C22">
            <v>0.67347055673599243</v>
          </cell>
          <cell r="D22" t="str">
            <v>no</v>
          </cell>
          <cell r="E22">
            <v>0.9384581446647644</v>
          </cell>
          <cell r="F22">
            <v>1.2172629833221436</v>
          </cell>
          <cell r="G22">
            <v>1.0778605937957764</v>
          </cell>
        </row>
        <row r="23">
          <cell r="A23" t="str">
            <v>Mariposa</v>
          </cell>
          <cell r="B23">
            <v>0.53490829467773438</v>
          </cell>
          <cell r="C23">
            <v>0.46509167551994324</v>
          </cell>
          <cell r="D23" t="str">
            <v>yes</v>
          </cell>
          <cell r="E23">
            <v>0.771137535572052</v>
          </cell>
          <cell r="F23">
            <v>0.8914075493812561</v>
          </cell>
          <cell r="G23">
            <v>0.83127254247665405</v>
          </cell>
        </row>
        <row r="24">
          <cell r="A24" t="str">
            <v>Mendocino</v>
          </cell>
          <cell r="B24">
            <v>0.19201591610908508</v>
          </cell>
          <cell r="C24">
            <v>0.80798405408859253</v>
          </cell>
          <cell r="D24" t="str">
            <v>no</v>
          </cell>
          <cell r="E24">
            <v>0.78409993648529053</v>
          </cell>
          <cell r="F24">
            <v>0.7827717661857605</v>
          </cell>
          <cell r="G24">
            <v>0.78343582153320313</v>
          </cell>
        </row>
        <row r="25">
          <cell r="A25" t="str">
            <v>Merced</v>
          </cell>
          <cell r="B25">
            <v>0.10533478856086731</v>
          </cell>
          <cell r="C25">
            <v>0.89466524124145508</v>
          </cell>
          <cell r="D25" t="str">
            <v>no</v>
          </cell>
          <cell r="E25">
            <v>0.97975695133209229</v>
          </cell>
          <cell r="F25">
            <v>0.78807282447814941</v>
          </cell>
          <cell r="G25">
            <v>0.88391488790512085</v>
          </cell>
        </row>
        <row r="26">
          <cell r="A26" t="str">
            <v>Modoc</v>
          </cell>
          <cell r="B26">
            <v>0.12809473276138306</v>
          </cell>
          <cell r="C26">
            <v>0.87190532684326172</v>
          </cell>
          <cell r="D26" t="str">
            <v>no</v>
          </cell>
          <cell r="E26">
            <v>1.0331225395202637</v>
          </cell>
          <cell r="F26">
            <v>0.55659377574920654</v>
          </cell>
          <cell r="G26">
            <v>0.79485815763473511</v>
          </cell>
        </row>
        <row r="27">
          <cell r="A27" t="str">
            <v>Mono</v>
          </cell>
          <cell r="B27">
            <v>9.6910111606121063E-2</v>
          </cell>
          <cell r="C27">
            <v>0.90308988094329834</v>
          </cell>
          <cell r="D27" t="str">
            <v>no</v>
          </cell>
          <cell r="E27">
            <v>0.95110553503036499</v>
          </cell>
          <cell r="F27">
            <v>0.89388126134872437</v>
          </cell>
          <cell r="G27">
            <v>0.92249339818954468</v>
          </cell>
        </row>
        <row r="28">
          <cell r="A28" t="str">
            <v>Monterey</v>
          </cell>
          <cell r="B28">
            <v>0.37705463171005249</v>
          </cell>
          <cell r="C28">
            <v>0.62294530868530273</v>
          </cell>
          <cell r="D28" t="str">
            <v>no</v>
          </cell>
          <cell r="E28">
            <v>0.9161791205406189</v>
          </cell>
          <cell r="F28">
            <v>1.1378327608108521</v>
          </cell>
          <cell r="G28">
            <v>1.0270059108734131</v>
          </cell>
        </row>
        <row r="29">
          <cell r="A29" t="str">
            <v>Napa</v>
          </cell>
          <cell r="B29">
            <v>0.23404699563980103</v>
          </cell>
          <cell r="C29">
            <v>0.76595300436019897</v>
          </cell>
          <cell r="D29" t="str">
            <v>no</v>
          </cell>
          <cell r="E29">
            <v>0.93304187059402466</v>
          </cell>
          <cell r="F29">
            <v>1.2704272270202637</v>
          </cell>
          <cell r="G29">
            <v>1.1017345190048218</v>
          </cell>
        </row>
        <row r="30">
          <cell r="A30" t="str">
            <v>Nevada</v>
          </cell>
          <cell r="B30">
            <v>0.2954048216342926</v>
          </cell>
          <cell r="C30">
            <v>0.70459520816802979</v>
          </cell>
          <cell r="D30" t="str">
            <v>no</v>
          </cell>
          <cell r="E30">
            <v>0.76997536420822144</v>
          </cell>
          <cell r="F30">
            <v>1.0598667860031128</v>
          </cell>
          <cell r="G30">
            <v>0.91492104530334473</v>
          </cell>
        </row>
        <row r="31">
          <cell r="A31" t="str">
            <v>Orange</v>
          </cell>
          <cell r="B31">
            <v>0.11431123316287994</v>
          </cell>
          <cell r="C31">
            <v>0.88568878173828125</v>
          </cell>
          <cell r="D31" t="str">
            <v>no</v>
          </cell>
          <cell r="E31">
            <v>1.1788177490234375</v>
          </cell>
          <cell r="F31">
            <v>1.2253736257553101</v>
          </cell>
          <cell r="G31">
            <v>1.2020957469940186</v>
          </cell>
        </row>
        <row r="32">
          <cell r="A32" t="str">
            <v>Placer</v>
          </cell>
          <cell r="B32">
            <v>0.1171337366104126</v>
          </cell>
          <cell r="C32">
            <v>0.8828662633895874</v>
          </cell>
          <cell r="D32" t="str">
            <v>no</v>
          </cell>
          <cell r="E32">
            <v>0.98201668262481689</v>
          </cell>
          <cell r="F32">
            <v>1.1566240787506104</v>
          </cell>
          <cell r="G32">
            <v>1.0693204402923584</v>
          </cell>
        </row>
        <row r="33">
          <cell r="A33" t="str">
            <v>Plumas</v>
          </cell>
          <cell r="B33">
            <v>8.2331731915473938E-2</v>
          </cell>
          <cell r="C33">
            <v>0.91766822338104248</v>
          </cell>
          <cell r="D33" t="str">
            <v>no</v>
          </cell>
          <cell r="E33">
            <v>0.84519660472869873</v>
          </cell>
          <cell r="F33">
            <v>0.72069120407104492</v>
          </cell>
          <cell r="G33">
            <v>0.78294390439987183</v>
          </cell>
        </row>
        <row r="34">
          <cell r="A34" t="str">
            <v>Riverside</v>
          </cell>
          <cell r="B34">
            <v>0.19706462323665619</v>
          </cell>
          <cell r="C34">
            <v>0.80293542146682739</v>
          </cell>
          <cell r="D34" t="str">
            <v>no</v>
          </cell>
          <cell r="E34">
            <v>0.97440284490585327</v>
          </cell>
          <cell r="F34">
            <v>1.0623291730880737</v>
          </cell>
          <cell r="G34">
            <v>1.0183659791946411</v>
          </cell>
        </row>
        <row r="35">
          <cell r="A35" t="str">
            <v>Sacramento</v>
          </cell>
          <cell r="B35">
            <v>0.82543808221817017</v>
          </cell>
          <cell r="C35">
            <v>0.17456191778182983</v>
          </cell>
          <cell r="D35" t="str">
            <v>yes</v>
          </cell>
          <cell r="E35">
            <v>1.4554316997528076</v>
          </cell>
          <cell r="F35">
            <v>1.1954292058944702</v>
          </cell>
          <cell r="G35">
            <v>1.3254303932189941</v>
          </cell>
        </row>
        <row r="36">
          <cell r="A36" t="str">
            <v>San Benito</v>
          </cell>
          <cell r="B36">
            <v>9.4442419707775116E-2</v>
          </cell>
          <cell r="C36">
            <v>0.90555757284164429</v>
          </cell>
          <cell r="D36" t="str">
            <v>no</v>
          </cell>
          <cell r="E36">
            <v>0.73973119258880615</v>
          </cell>
          <cell r="F36">
            <v>1.0067623853683472</v>
          </cell>
          <cell r="G36">
            <v>0.87324678897857666</v>
          </cell>
        </row>
        <row r="37">
          <cell r="A37" t="str">
            <v>San Bernardino</v>
          </cell>
          <cell r="B37">
            <v>0.23256781697273254</v>
          </cell>
          <cell r="C37">
            <v>0.76743221282958984</v>
          </cell>
          <cell r="D37" t="str">
            <v>no</v>
          </cell>
          <cell r="E37">
            <v>1.051307201385498</v>
          </cell>
          <cell r="F37">
            <v>1.1444829702377319</v>
          </cell>
          <cell r="G37">
            <v>1.0978951454162598</v>
          </cell>
        </row>
        <row r="38">
          <cell r="A38" t="str">
            <v>San Diego</v>
          </cell>
          <cell r="B38">
            <v>0.16446316242218018</v>
          </cell>
          <cell r="C38">
            <v>0.83553683757781982</v>
          </cell>
          <cell r="D38" t="str">
            <v>no</v>
          </cell>
          <cell r="E38">
            <v>1.1109331846237183</v>
          </cell>
          <cell r="F38">
            <v>1.1781414747238159</v>
          </cell>
          <cell r="G38">
            <v>1.1445373296737671</v>
          </cell>
        </row>
        <row r="39">
          <cell r="A39" t="str">
            <v>San Francisco</v>
          </cell>
          <cell r="B39">
            <v>0.4083939790725708</v>
          </cell>
          <cell r="C39">
            <v>0.5916060209274292</v>
          </cell>
          <cell r="D39" t="str">
            <v>no</v>
          </cell>
          <cell r="E39">
            <v>1.6201558113098145</v>
          </cell>
          <cell r="F39">
            <v>1.6870681047439575</v>
          </cell>
          <cell r="G39">
            <v>1.6536118984222412</v>
          </cell>
        </row>
        <row r="40">
          <cell r="A40" t="str">
            <v>San Joaquin</v>
          </cell>
          <cell r="B40">
            <v>0.30170360207557678</v>
          </cell>
          <cell r="C40">
            <v>0.69829642772674561</v>
          </cell>
          <cell r="D40" t="str">
            <v>no</v>
          </cell>
          <cell r="E40">
            <v>1.0319501161575317</v>
          </cell>
          <cell r="F40">
            <v>1.0517959594726563</v>
          </cell>
          <cell r="G40">
            <v>1.0418729782104492</v>
          </cell>
        </row>
        <row r="41">
          <cell r="A41" t="str">
            <v>San Luis Obispo</v>
          </cell>
          <cell r="B41">
            <v>0.44661864638328552</v>
          </cell>
          <cell r="C41">
            <v>0.55338132381439209</v>
          </cell>
          <cell r="D41" t="str">
            <v>no</v>
          </cell>
          <cell r="E41">
            <v>1.0434025526046753</v>
          </cell>
          <cell r="F41">
            <v>1.0185075998306274</v>
          </cell>
          <cell r="G41">
            <v>1.0309550762176514</v>
          </cell>
        </row>
        <row r="42">
          <cell r="A42" t="str">
            <v>San Mateo</v>
          </cell>
          <cell r="B42">
            <v>3.6490742117166519E-2</v>
          </cell>
          <cell r="C42">
            <v>0.96350932121276855</v>
          </cell>
          <cell r="D42" t="str">
            <v>no</v>
          </cell>
          <cell r="E42">
            <v>0.89376723766326904</v>
          </cell>
          <cell r="F42">
            <v>1.6112679243087769</v>
          </cell>
          <cell r="G42">
            <v>1.2525175809860229</v>
          </cell>
        </row>
        <row r="43">
          <cell r="A43" t="str">
            <v>Santa Barbara</v>
          </cell>
          <cell r="B43">
            <v>7.4590042233467102E-2</v>
          </cell>
          <cell r="C43">
            <v>0.92540997266769409</v>
          </cell>
          <cell r="D43" t="str">
            <v>no</v>
          </cell>
          <cell r="E43">
            <v>1.0221139192581177</v>
          </cell>
          <cell r="F43">
            <v>1.2140299081802368</v>
          </cell>
          <cell r="G43">
            <v>1.1180719137191772</v>
          </cell>
        </row>
        <row r="44">
          <cell r="A44" t="str">
            <v>Santa Clara</v>
          </cell>
          <cell r="B44">
            <v>5.934896320104599E-2</v>
          </cell>
          <cell r="C44">
            <v>0.9406510591506958</v>
          </cell>
          <cell r="D44" t="str">
            <v>no</v>
          </cell>
          <cell r="E44">
            <v>1.0618906021118164</v>
          </cell>
          <cell r="F44">
            <v>1.4843151569366455</v>
          </cell>
          <cell r="G44">
            <v>1.273102879524231</v>
          </cell>
        </row>
        <row r="45">
          <cell r="A45" t="str">
            <v>Santa Cruz</v>
          </cell>
          <cell r="B45">
            <v>0.15156653523445129</v>
          </cell>
          <cell r="C45">
            <v>0.84843343496322632</v>
          </cell>
          <cell r="D45" t="str">
            <v>no</v>
          </cell>
          <cell r="E45">
            <v>0.83474653959274292</v>
          </cell>
          <cell r="F45">
            <v>1.1029928922653198</v>
          </cell>
          <cell r="G45">
            <v>0.96886968612670898</v>
          </cell>
        </row>
        <row r="46">
          <cell r="A46" t="str">
            <v>Shasta</v>
          </cell>
          <cell r="B46">
            <v>0.31740188598632813</v>
          </cell>
          <cell r="C46">
            <v>0.68259811401367188</v>
          </cell>
          <cell r="D46" t="str">
            <v>no</v>
          </cell>
          <cell r="E46">
            <v>1.0792994499206543</v>
          </cell>
          <cell r="F46">
            <v>0.92572021484375</v>
          </cell>
          <cell r="G46">
            <v>1.0025098323822021</v>
          </cell>
        </row>
        <row r="47">
          <cell r="A47" t="str">
            <v>Sierra</v>
          </cell>
          <cell r="C47">
            <v>1</v>
          </cell>
          <cell r="D47" t="str">
            <v>no</v>
          </cell>
          <cell r="F47">
            <v>0.70629554986953735</v>
          </cell>
          <cell r="G47">
            <v>0.70629554986953735</v>
          </cell>
        </row>
        <row r="48">
          <cell r="A48" t="str">
            <v>Siskiyou</v>
          </cell>
          <cell r="B48">
            <v>0.29229903221130371</v>
          </cell>
          <cell r="C48">
            <v>0.70770096778869629</v>
          </cell>
          <cell r="D48" t="str">
            <v>no</v>
          </cell>
          <cell r="E48">
            <v>0.88180458545684814</v>
          </cell>
          <cell r="F48">
            <v>0.68677550554275513</v>
          </cell>
          <cell r="G48">
            <v>0.78429007530212402</v>
          </cell>
        </row>
        <row r="49">
          <cell r="A49" t="str">
            <v>Solano</v>
          </cell>
          <cell r="B49">
            <v>0.32828831672668457</v>
          </cell>
          <cell r="C49">
            <v>0.67171162366867065</v>
          </cell>
          <cell r="D49" t="str">
            <v>no</v>
          </cell>
          <cell r="E49">
            <v>1.1303901672363281</v>
          </cell>
          <cell r="F49">
            <v>1.1892141103744507</v>
          </cell>
          <cell r="G49">
            <v>1.1598021984100342</v>
          </cell>
        </row>
        <row r="50">
          <cell r="A50" t="str">
            <v>Sonoma</v>
          </cell>
          <cell r="B50">
            <v>0.10755684971809387</v>
          </cell>
          <cell r="C50">
            <v>0.89244318008422852</v>
          </cell>
          <cell r="D50" t="str">
            <v>no</v>
          </cell>
          <cell r="E50">
            <v>1.1183938980102539</v>
          </cell>
          <cell r="F50">
            <v>1.195616602897644</v>
          </cell>
          <cell r="G50">
            <v>1.1570053100585938</v>
          </cell>
        </row>
        <row r="51">
          <cell r="A51" t="str">
            <v>Stanislaus</v>
          </cell>
          <cell r="B51">
            <v>3.7520710378885269E-2</v>
          </cell>
          <cell r="C51">
            <v>0.96247929334640503</v>
          </cell>
          <cell r="D51" t="str">
            <v>no</v>
          </cell>
          <cell r="E51">
            <v>0.99833178520202637</v>
          </cell>
          <cell r="F51">
            <v>1.0296658277511597</v>
          </cell>
          <cell r="G51">
            <v>1.0139987468719482</v>
          </cell>
        </row>
        <row r="52">
          <cell r="A52" t="str">
            <v>Sutter</v>
          </cell>
          <cell r="B52">
            <v>6.1560407280921936E-2</v>
          </cell>
          <cell r="C52">
            <v>0.93843960762023926</v>
          </cell>
          <cell r="D52" t="str">
            <v>no</v>
          </cell>
          <cell r="E52">
            <v>1.1588068008422852</v>
          </cell>
          <cell r="F52">
            <v>0.94268780946731567</v>
          </cell>
          <cell r="G52">
            <v>1.050747275352478</v>
          </cell>
        </row>
        <row r="53">
          <cell r="A53" t="str">
            <v>Tehama</v>
          </cell>
          <cell r="B53">
            <v>0.31819260120391846</v>
          </cell>
          <cell r="C53">
            <v>0.68180733919143677</v>
          </cell>
          <cell r="D53" t="str">
            <v>no</v>
          </cell>
          <cell r="E53">
            <v>0.95283788442611694</v>
          </cell>
          <cell r="F53">
            <v>0.76214200258255005</v>
          </cell>
          <cell r="G53">
            <v>0.8574899435043335</v>
          </cell>
        </row>
        <row r="54">
          <cell r="A54" t="str">
            <v>Trinity</v>
          </cell>
          <cell r="B54">
            <v>7.9881660640239716E-2</v>
          </cell>
          <cell r="C54">
            <v>0.92011833190917969</v>
          </cell>
          <cell r="D54" t="str">
            <v>no</v>
          </cell>
          <cell r="E54">
            <v>1.0151429176330566</v>
          </cell>
          <cell r="F54">
            <v>0.74786120653152466</v>
          </cell>
          <cell r="G54">
            <v>0.88150203227996826</v>
          </cell>
        </row>
        <row r="55">
          <cell r="A55" t="str">
            <v>Tulare</v>
          </cell>
          <cell r="B55">
            <v>6.5534979104995728E-2</v>
          </cell>
          <cell r="C55">
            <v>0.93446505069732666</v>
          </cell>
          <cell r="D55" t="str">
            <v>no</v>
          </cell>
          <cell r="E55">
            <v>0.88249886035919189</v>
          </cell>
          <cell r="F55">
            <v>0.97483712434768677</v>
          </cell>
          <cell r="G55">
            <v>0.92866802215576172</v>
          </cell>
        </row>
        <row r="56">
          <cell r="A56" t="str">
            <v>Tuolumne</v>
          </cell>
          <cell r="B56">
            <v>0.49243837594985962</v>
          </cell>
          <cell r="C56">
            <v>0.50756162405014038</v>
          </cell>
          <cell r="D56" t="str">
            <v>no</v>
          </cell>
          <cell r="E56">
            <v>0.89914166927337646</v>
          </cell>
          <cell r="F56">
            <v>0.82898223400115967</v>
          </cell>
          <cell r="G56">
            <v>0.86406195163726807</v>
          </cell>
        </row>
        <row r="57">
          <cell r="A57" t="str">
            <v>Ventura</v>
          </cell>
          <cell r="B57">
            <v>7.7165000140666962E-2</v>
          </cell>
          <cell r="C57">
            <v>0.92283499240875244</v>
          </cell>
          <cell r="D57" t="str">
            <v>no</v>
          </cell>
          <cell r="E57">
            <v>1.0715751647949219</v>
          </cell>
          <cell r="F57">
            <v>1.2526682615280151</v>
          </cell>
          <cell r="G57">
            <v>1.1621217727661133</v>
          </cell>
        </row>
        <row r="58">
          <cell r="A58" t="str">
            <v>Yolo</v>
          </cell>
          <cell r="B58">
            <v>0.51368296146392822</v>
          </cell>
          <cell r="C58">
            <v>0.48631703853607178</v>
          </cell>
          <cell r="D58" t="str">
            <v>yes</v>
          </cell>
          <cell r="E58">
            <v>1.5137039422988892</v>
          </cell>
          <cell r="F58">
            <v>1.0943315029144287</v>
          </cell>
          <cell r="G58">
            <v>1.3040177822113037</v>
          </cell>
        </row>
        <row r="59">
          <cell r="A59" t="str">
            <v>Yuba</v>
          </cell>
          <cell r="B59">
            <v>0.5119631290435791</v>
          </cell>
          <cell r="C59">
            <v>0.48803690075874329</v>
          </cell>
          <cell r="D59" t="str">
            <v>yes</v>
          </cell>
          <cell r="E59">
            <v>1.4737969636917114</v>
          </cell>
          <cell r="F59">
            <v>0.96436995267868042</v>
          </cell>
          <cell r="G59">
            <v>1.2190834283828735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WF Need"/>
      <sheetName val="BLS"/>
      <sheetName val="RAS"/>
      <sheetName val="AVG RAS salary"/>
      <sheetName val="FTE Allotment Factor"/>
      <sheetName val="Program 10"/>
      <sheetName val="Program 90"/>
      <sheetName val="CEO Salary"/>
      <sheetName val="OE&amp;E by Cluster"/>
      <sheetName val="AB1058"/>
      <sheetName val="Floor Adjustment"/>
      <sheetName val="Floors"/>
      <sheetName val="SUMMARY"/>
    </sheetNames>
    <sheetDataSet>
      <sheetData sheetId="0" refreshError="1"/>
      <sheetData sheetId="1" refreshError="1"/>
      <sheetData sheetId="2" refreshError="1"/>
      <sheetData sheetId="3" refreshError="1"/>
      <sheetData sheetId="4" refreshError="1"/>
      <sheetData sheetId="5" refreshError="1"/>
      <sheetData sheetId="6">
        <row r="7">
          <cell r="A7" t="str">
            <v>Alameda</v>
          </cell>
          <cell r="B7">
            <v>502.94999999999987</v>
          </cell>
          <cell r="C7">
            <v>47415515.042600028</v>
          </cell>
          <cell r="D7">
            <v>15032549.996168315</v>
          </cell>
          <cell r="E7">
            <v>10626906.200000001</v>
          </cell>
        </row>
        <row r="8">
          <cell r="A8" t="str">
            <v>Alpine</v>
          </cell>
          <cell r="B8">
            <v>2.5499999999999998</v>
          </cell>
          <cell r="C8">
            <v>171286.38149999999</v>
          </cell>
          <cell r="D8">
            <v>84060.504584940005</v>
          </cell>
          <cell r="E8">
            <v>79838.9565</v>
          </cell>
        </row>
        <row r="9">
          <cell r="A9" t="str">
            <v>Amador</v>
          </cell>
          <cell r="B9">
            <v>21.05</v>
          </cell>
          <cell r="C9">
            <v>1507921.9599999995</v>
          </cell>
          <cell r="D9">
            <v>626993.95096799987</v>
          </cell>
          <cell r="E9">
            <v>240048.65400000007</v>
          </cell>
        </row>
        <row r="10">
          <cell r="A10" t="str">
            <v>Butte</v>
          </cell>
          <cell r="B10">
            <v>83.157599999999945</v>
          </cell>
          <cell r="C10">
            <v>5292563.456753999</v>
          </cell>
          <cell r="D10">
            <v>1816165.5275448991</v>
          </cell>
          <cell r="E10">
            <v>1217892.1032000005</v>
          </cell>
        </row>
        <row r="11">
          <cell r="A11" t="str">
            <v>Calaveras</v>
          </cell>
          <cell r="B11">
            <v>17.649999999999999</v>
          </cell>
          <cell r="C11">
            <v>1305370.1434799999</v>
          </cell>
          <cell r="D11">
            <v>298281.65168890404</v>
          </cell>
          <cell r="E11">
            <v>263826.37950000004</v>
          </cell>
        </row>
        <row r="12">
          <cell r="A12" t="str">
            <v>Colusa</v>
          </cell>
          <cell r="B12">
            <v>9.6499999999999915</v>
          </cell>
          <cell r="C12">
            <v>516534.4499999999</v>
          </cell>
          <cell r="D12">
            <v>261624.698925</v>
          </cell>
          <cell r="E12">
            <v>240151.24999999985</v>
          </cell>
        </row>
        <row r="13">
          <cell r="A13" t="str">
            <v>Contra Costa</v>
          </cell>
          <cell r="B13">
            <v>247</v>
          </cell>
          <cell r="C13">
            <v>21346681.517999999</v>
          </cell>
          <cell r="D13">
            <v>6471371.0370100085</v>
          </cell>
          <cell r="E13">
            <v>6669778.2170000169</v>
          </cell>
        </row>
        <row r="14">
          <cell r="A14" t="str">
            <v>Del Norte</v>
          </cell>
          <cell r="B14">
            <v>20</v>
          </cell>
          <cell r="C14">
            <v>1265847.4624236627</v>
          </cell>
          <cell r="D14">
            <v>405736.95818313077</v>
          </cell>
          <cell r="E14">
            <v>548264.44000000006</v>
          </cell>
        </row>
        <row r="15">
          <cell r="A15" t="str">
            <v>El Dorado</v>
          </cell>
          <cell r="B15">
            <v>55.9</v>
          </cell>
          <cell r="C15">
            <v>4044027.5200000009</v>
          </cell>
          <cell r="D15">
            <v>1399566.1238207996</v>
          </cell>
          <cell r="E15">
            <v>1515565.6250000014</v>
          </cell>
        </row>
        <row r="16">
          <cell r="A16" t="str">
            <v>Fresno</v>
          </cell>
          <cell r="B16">
            <v>412.02499999999998</v>
          </cell>
          <cell r="C16">
            <v>29158261.853000015</v>
          </cell>
          <cell r="D16">
            <v>17018635.002817534</v>
          </cell>
          <cell r="E16">
            <v>7067573.7475732891</v>
          </cell>
        </row>
        <row r="17">
          <cell r="A17" t="str">
            <v>Glenn</v>
          </cell>
          <cell r="B17">
            <v>12.55</v>
          </cell>
          <cell r="C17">
            <v>748191.83699999994</v>
          </cell>
          <cell r="D17">
            <v>131457.3057609</v>
          </cell>
          <cell r="E17">
            <v>519233.174</v>
          </cell>
        </row>
        <row r="18">
          <cell r="A18" t="str">
            <v>Humboldt</v>
          </cell>
          <cell r="B18">
            <v>56.2</v>
          </cell>
          <cell r="C18">
            <v>3786517.9793299995</v>
          </cell>
          <cell r="D18">
            <v>1586730.4632646146</v>
          </cell>
          <cell r="E18">
            <v>1148828.1800000009</v>
          </cell>
        </row>
        <row r="19">
          <cell r="A19" t="str">
            <v>Imperial</v>
          </cell>
          <cell r="B19">
            <v>71.399999999999991</v>
          </cell>
          <cell r="C19">
            <v>3815221.1744278916</v>
          </cell>
          <cell r="D19">
            <v>891050.9188849146</v>
          </cell>
          <cell r="E19">
            <v>460511.11999999959</v>
          </cell>
        </row>
        <row r="20">
          <cell r="A20" t="str">
            <v>Inyo</v>
          </cell>
          <cell r="B20">
            <v>9.889999999999997</v>
          </cell>
          <cell r="C20">
            <v>788475.60000000009</v>
          </cell>
          <cell r="D20">
            <v>157300.88219999996</v>
          </cell>
          <cell r="E20">
            <v>154576.69000000003</v>
          </cell>
        </row>
        <row r="21">
          <cell r="A21" t="str">
            <v>Kern</v>
          </cell>
          <cell r="B21">
            <v>392.5</v>
          </cell>
          <cell r="C21">
            <v>29282559.121740818</v>
          </cell>
          <cell r="D21">
            <v>14455336.550125264</v>
          </cell>
          <cell r="E21">
            <v>7895179.7313928632</v>
          </cell>
        </row>
        <row r="22">
          <cell r="A22" t="str">
            <v>Kings</v>
          </cell>
          <cell r="B22">
            <v>74</v>
          </cell>
          <cell r="C22">
            <v>5122876.429999996</v>
          </cell>
          <cell r="D22">
            <v>846697.56039100012</v>
          </cell>
          <cell r="E22">
            <v>1377277.8299999996</v>
          </cell>
        </row>
        <row r="23">
          <cell r="A23" t="str">
            <v>Lake</v>
          </cell>
          <cell r="B23">
            <v>27.1</v>
          </cell>
          <cell r="C23">
            <v>1836676.4369999999</v>
          </cell>
          <cell r="D23">
            <v>594366.86177756998</v>
          </cell>
          <cell r="E23">
            <v>373569.70599999977</v>
          </cell>
        </row>
        <row r="24">
          <cell r="A24" t="str">
            <v>Lassen</v>
          </cell>
          <cell r="B24">
            <v>16.5</v>
          </cell>
          <cell r="C24">
            <v>1194426.9499999995</v>
          </cell>
          <cell r="D24">
            <v>211842.79678000003</v>
          </cell>
          <cell r="E24">
            <v>225138.42999999996</v>
          </cell>
        </row>
        <row r="25">
          <cell r="A25" t="str">
            <v>Los Angeles</v>
          </cell>
          <cell r="B25">
            <v>3454</v>
          </cell>
          <cell r="C25">
            <v>292720265.53655463</v>
          </cell>
          <cell r="D25">
            <v>94875801.727356762</v>
          </cell>
          <cell r="E25">
            <v>100112500.96342582</v>
          </cell>
        </row>
        <row r="26">
          <cell r="A26" t="str">
            <v>Madera</v>
          </cell>
          <cell r="B26">
            <v>77.36</v>
          </cell>
          <cell r="C26">
            <v>5410058.870000001</v>
          </cell>
          <cell r="D26">
            <v>2319682.8160428996</v>
          </cell>
          <cell r="E26">
            <v>906813.92000000016</v>
          </cell>
        </row>
        <row r="27">
          <cell r="A27" t="str">
            <v>Marin</v>
          </cell>
          <cell r="B27">
            <v>73.111538461538458</v>
          </cell>
          <cell r="C27">
            <v>6854643.5484875049</v>
          </cell>
          <cell r="D27">
            <v>1462279.3255375824</v>
          </cell>
          <cell r="E27">
            <v>1700446.439423077</v>
          </cell>
        </row>
        <row r="28">
          <cell r="A28" t="str">
            <v>Mariposa</v>
          </cell>
          <cell r="B28">
            <v>8.1999999999999993</v>
          </cell>
          <cell r="C28">
            <v>515043.6700000001</v>
          </cell>
          <cell r="D28">
            <v>165346.03209500003</v>
          </cell>
          <cell r="E28">
            <v>135791.97999999998</v>
          </cell>
        </row>
        <row r="29">
          <cell r="A29" t="str">
            <v>Mendocino</v>
          </cell>
          <cell r="B29">
            <v>41.699999999999996</v>
          </cell>
          <cell r="C29">
            <v>3246389</v>
          </cell>
          <cell r="D29">
            <v>1525558.7032799998</v>
          </cell>
          <cell r="E29">
            <v>785256.27500000002</v>
          </cell>
        </row>
        <row r="30">
          <cell r="A30" t="str">
            <v>Merced</v>
          </cell>
          <cell r="B30">
            <v>103.5</v>
          </cell>
          <cell r="C30">
            <v>6997066.3776000021</v>
          </cell>
          <cell r="D30">
            <v>3429771.3764830404</v>
          </cell>
          <cell r="E30">
            <v>1863972.0856499961</v>
          </cell>
        </row>
        <row r="31">
          <cell r="A31" t="str">
            <v>Modoc</v>
          </cell>
          <cell r="B31">
            <v>7.2</v>
          </cell>
          <cell r="C31">
            <v>463544.53399999999</v>
          </cell>
          <cell r="D31">
            <v>186385.94108100003</v>
          </cell>
          <cell r="E31">
            <v>132961.758</v>
          </cell>
        </row>
        <row r="32">
          <cell r="A32" t="str">
            <v>Mono</v>
          </cell>
          <cell r="B32">
            <v>7.3999999999999995</v>
          </cell>
          <cell r="C32">
            <v>492987.55</v>
          </cell>
          <cell r="D32">
            <v>157944.71130200004</v>
          </cell>
          <cell r="E32">
            <v>156650.54999999996</v>
          </cell>
        </row>
        <row r="33">
          <cell r="A33" t="str">
            <v>Monterey</v>
          </cell>
          <cell r="B33">
            <v>138.79999999999998</v>
          </cell>
          <cell r="C33">
            <v>10234114.020000011</v>
          </cell>
          <cell r="D33">
            <v>1717556.0570179997</v>
          </cell>
          <cell r="E33">
            <v>3912030.1168766259</v>
          </cell>
        </row>
        <row r="34">
          <cell r="A34" t="str">
            <v>Napa</v>
          </cell>
          <cell r="B34">
            <v>45.9</v>
          </cell>
          <cell r="C34">
            <v>3969021.1799999997</v>
          </cell>
          <cell r="D34">
            <v>1097761.3186260008</v>
          </cell>
          <cell r="E34">
            <v>1110646.7</v>
          </cell>
        </row>
        <row r="35">
          <cell r="A35" t="str">
            <v>Nevada</v>
          </cell>
          <cell r="B35">
            <v>38.479999999999997</v>
          </cell>
          <cell r="C35">
            <v>2789748.8463350823</v>
          </cell>
          <cell r="D35">
            <v>1406832.6928992274</v>
          </cell>
          <cell r="E35">
            <v>846933.21440000017</v>
          </cell>
        </row>
        <row r="36">
          <cell r="A36" t="str">
            <v>Orange</v>
          </cell>
          <cell r="B36">
            <v>1139.5624521072793</v>
          </cell>
          <cell r="C36">
            <v>103683668.89635693</v>
          </cell>
          <cell r="D36">
            <v>40376131.701618031</v>
          </cell>
          <cell r="E36">
            <v>18160605.638299823</v>
          </cell>
        </row>
        <row r="37">
          <cell r="A37" t="str">
            <v>Placer</v>
          </cell>
          <cell r="B37">
            <v>115.8</v>
          </cell>
          <cell r="C37">
            <v>9724406.339999998</v>
          </cell>
          <cell r="D37">
            <v>3593976.1070340006</v>
          </cell>
          <cell r="E37">
            <v>3460909.4</v>
          </cell>
        </row>
        <row r="38">
          <cell r="A38" t="str">
            <v>Plumas</v>
          </cell>
          <cell r="B38">
            <v>6.2</v>
          </cell>
          <cell r="C38">
            <v>474092.20000000007</v>
          </cell>
          <cell r="D38">
            <v>198692.04102</v>
          </cell>
          <cell r="E38">
            <v>141305.89999999997</v>
          </cell>
        </row>
        <row r="39">
          <cell r="A39" t="str">
            <v>Riverside</v>
          </cell>
          <cell r="B39">
            <v>831.08</v>
          </cell>
          <cell r="C39">
            <v>73811110.305419892</v>
          </cell>
          <cell r="D39">
            <v>28977199.589453723</v>
          </cell>
          <cell r="E39">
            <v>18284048.943600021</v>
          </cell>
        </row>
        <row r="40">
          <cell r="A40" t="str">
            <v>Sacramento</v>
          </cell>
          <cell r="B40">
            <v>583.09000000000071</v>
          </cell>
          <cell r="C40">
            <v>52667066.678038053</v>
          </cell>
          <cell r="D40">
            <v>21811734.947544608</v>
          </cell>
          <cell r="E40">
            <v>13676001.787123393</v>
          </cell>
        </row>
        <row r="41">
          <cell r="A41" t="str">
            <v>San Benito</v>
          </cell>
          <cell r="B41">
            <v>27.3</v>
          </cell>
          <cell r="C41">
            <v>2236009.8820000002</v>
          </cell>
          <cell r="D41">
            <v>389960.12342079997</v>
          </cell>
          <cell r="E41">
            <v>397865.92499999999</v>
          </cell>
        </row>
        <row r="42">
          <cell r="A42" t="str">
            <v>San Bernardino</v>
          </cell>
          <cell r="B42">
            <v>886.49692307692305</v>
          </cell>
          <cell r="C42">
            <v>72254132.46369946</v>
          </cell>
          <cell r="D42">
            <v>21411733.685402811</v>
          </cell>
          <cell r="E42">
            <v>14151157.342253085</v>
          </cell>
        </row>
        <row r="43">
          <cell r="A43" t="str">
            <v>San Diego</v>
          </cell>
          <cell r="B43">
            <v>916.42000000000007</v>
          </cell>
          <cell r="C43">
            <v>75100698.841999874</v>
          </cell>
          <cell r="D43">
            <v>38441820.946810842</v>
          </cell>
          <cell r="E43">
            <v>23282355.481623609</v>
          </cell>
        </row>
        <row r="44">
          <cell r="A44" t="str">
            <v>San Francisco</v>
          </cell>
          <cell r="B44">
            <v>326.8</v>
          </cell>
          <cell r="C44">
            <v>32883478.779147994</v>
          </cell>
          <cell r="D44">
            <v>10568572.617576083</v>
          </cell>
          <cell r="E44">
            <v>12771122.901200032</v>
          </cell>
        </row>
        <row r="45">
          <cell r="A45" t="str">
            <v>San Joaquin</v>
          </cell>
          <cell r="B45">
            <v>286.16499999999991</v>
          </cell>
          <cell r="C45">
            <v>21757384.41915996</v>
          </cell>
          <cell r="D45">
            <v>10912226.695271999</v>
          </cell>
          <cell r="E45">
            <v>4930632.6270000003</v>
          </cell>
        </row>
        <row r="46">
          <cell r="A46" t="str">
            <v>San Luis Obispo</v>
          </cell>
          <cell r="B46">
            <v>99.200000000000017</v>
          </cell>
          <cell r="C46">
            <v>8425785.8000000007</v>
          </cell>
          <cell r="D46">
            <v>4101097.7217479991</v>
          </cell>
          <cell r="E46">
            <v>1673353.1328000017</v>
          </cell>
        </row>
        <row r="47">
          <cell r="A47" t="str">
            <v>San Mateo</v>
          </cell>
          <cell r="B47">
            <v>194.54999999999998</v>
          </cell>
          <cell r="C47">
            <v>19018072.136470579</v>
          </cell>
          <cell r="D47">
            <v>6436434.5139573356</v>
          </cell>
          <cell r="E47">
            <v>5441563.5</v>
          </cell>
        </row>
        <row r="48">
          <cell r="A48" t="str">
            <v>Santa Barbara</v>
          </cell>
          <cell r="B48">
            <v>170.79999999999998</v>
          </cell>
          <cell r="C48">
            <v>13772072.907440003</v>
          </cell>
          <cell r="D48">
            <v>5846424.7840465149</v>
          </cell>
          <cell r="E48">
            <v>2731332.5199999996</v>
          </cell>
        </row>
        <row r="49">
          <cell r="A49" t="str">
            <v>Santa Clara</v>
          </cell>
          <cell r="B49">
            <v>407.23000000000013</v>
          </cell>
          <cell r="C49">
            <v>41963944.994294859</v>
          </cell>
          <cell r="D49">
            <v>15257669.165651586</v>
          </cell>
          <cell r="E49">
            <v>10216071.923360089</v>
          </cell>
        </row>
        <row r="50">
          <cell r="A50" t="str">
            <v>Santa Cruz</v>
          </cell>
          <cell r="B50">
            <v>84.167106978871118</v>
          </cell>
          <cell r="C50">
            <v>6710724.918140999</v>
          </cell>
          <cell r="D50">
            <v>2626115.9533322286</v>
          </cell>
          <cell r="E50">
            <v>1828725.9481275466</v>
          </cell>
        </row>
        <row r="51">
          <cell r="A51" t="str">
            <v>Shasta</v>
          </cell>
          <cell r="B51">
            <v>108.3</v>
          </cell>
          <cell r="C51">
            <v>7713084.940999995</v>
          </cell>
          <cell r="D51">
            <v>1291257.9798365</v>
          </cell>
          <cell r="E51">
            <v>2572938.1988637326</v>
          </cell>
        </row>
        <row r="52">
          <cell r="A52" t="str">
            <v>Sierra</v>
          </cell>
          <cell r="B52">
            <v>2.62</v>
          </cell>
          <cell r="C52">
            <v>145297.25</v>
          </cell>
          <cell r="D52">
            <v>56513.053140000011</v>
          </cell>
          <cell r="E52">
            <v>66855.87999999999</v>
          </cell>
        </row>
        <row r="53">
          <cell r="A53" t="str">
            <v>Siskiyou</v>
          </cell>
          <cell r="B53">
            <v>22.650000000000002</v>
          </cell>
          <cell r="C53">
            <v>1864009.6500000006</v>
          </cell>
          <cell r="D53">
            <v>869262.26018099964</v>
          </cell>
          <cell r="E53">
            <v>588936.84799999988</v>
          </cell>
        </row>
        <row r="54">
          <cell r="A54" t="str">
            <v>Solano</v>
          </cell>
          <cell r="B54">
            <v>169.95</v>
          </cell>
          <cell r="C54">
            <v>14355460.991014089</v>
          </cell>
          <cell r="D54">
            <v>7682734.8954785336</v>
          </cell>
          <cell r="E54">
            <v>3392853.5394999986</v>
          </cell>
        </row>
        <row r="55">
          <cell r="A55" t="str">
            <v>Sonoma</v>
          </cell>
          <cell r="B55">
            <v>155.99</v>
          </cell>
          <cell r="C55">
            <v>13319806.054963257</v>
          </cell>
          <cell r="D55">
            <v>5703491.0993009266</v>
          </cell>
          <cell r="E55">
            <v>3657616.2665999979</v>
          </cell>
        </row>
        <row r="56">
          <cell r="A56" t="str">
            <v>Stanislaus</v>
          </cell>
          <cell r="B56">
            <v>195.05</v>
          </cell>
          <cell r="C56">
            <v>14243253.049999988</v>
          </cell>
          <cell r="D56">
            <v>5221854.5197718004</v>
          </cell>
          <cell r="E56">
            <v>4042037.2609999864</v>
          </cell>
        </row>
        <row r="57">
          <cell r="A57" t="str">
            <v>Sutter</v>
          </cell>
          <cell r="B57">
            <v>34.299999999999997</v>
          </cell>
          <cell r="C57">
            <v>2321989.5799999996</v>
          </cell>
          <cell r="D57">
            <v>1057110.3277919998</v>
          </cell>
          <cell r="E57">
            <v>945769.36299999955</v>
          </cell>
        </row>
        <row r="58">
          <cell r="A58" t="str">
            <v>Tehama</v>
          </cell>
          <cell r="B58">
            <v>31.900000000000002</v>
          </cell>
          <cell r="C58">
            <v>2127355.0420000013</v>
          </cell>
          <cell r="D58">
            <v>856786.95056619996</v>
          </cell>
          <cell r="E58">
            <v>762526.69200000004</v>
          </cell>
        </row>
        <row r="59">
          <cell r="A59" t="str">
            <v>Trinity</v>
          </cell>
          <cell r="B59">
            <v>5.4600000000000009</v>
          </cell>
          <cell r="C59">
            <v>387232.31800000003</v>
          </cell>
          <cell r="D59">
            <v>180314.07486599998</v>
          </cell>
          <cell r="E59">
            <v>63043.12</v>
          </cell>
        </row>
        <row r="60">
          <cell r="A60" t="str">
            <v>Tulare</v>
          </cell>
          <cell r="B60">
            <v>211</v>
          </cell>
          <cell r="C60">
            <v>14762252.119999969</v>
          </cell>
          <cell r="D60">
            <v>4549813.9334350042</v>
          </cell>
          <cell r="E60">
            <v>7415258.4400000162</v>
          </cell>
        </row>
        <row r="61">
          <cell r="A61" t="str">
            <v>Tuolumne</v>
          </cell>
          <cell r="B61">
            <v>34</v>
          </cell>
          <cell r="C61">
            <v>2397962</v>
          </cell>
          <cell r="D61">
            <v>767696.73852000025</v>
          </cell>
          <cell r="E61">
            <v>1205456.17</v>
          </cell>
        </row>
        <row r="62">
          <cell r="A62" t="str">
            <v>Ventura</v>
          </cell>
          <cell r="B62">
            <v>238.30120000000002</v>
          </cell>
          <cell r="C62">
            <v>20163117.664428007</v>
          </cell>
          <cell r="D62">
            <v>5234294.5796358706</v>
          </cell>
          <cell r="E62">
            <v>4563826.7463599974</v>
          </cell>
        </row>
        <row r="63">
          <cell r="A63" t="str">
            <v>Yolo</v>
          </cell>
          <cell r="B63">
            <v>82.75</v>
          </cell>
          <cell r="C63">
            <v>6353151.5454999991</v>
          </cell>
          <cell r="D63">
            <v>1138515.4019408387</v>
          </cell>
          <cell r="E63">
            <v>3352359.0870000022</v>
          </cell>
        </row>
        <row r="64">
          <cell r="A64" t="str">
            <v>Yuba</v>
          </cell>
          <cell r="B64">
            <v>38.750000000000014</v>
          </cell>
          <cell r="C64">
            <v>2869639.5449999999</v>
          </cell>
          <cell r="D64">
            <v>310208.03481450002</v>
          </cell>
          <cell r="E64">
            <v>737635.12749999959</v>
          </cell>
        </row>
      </sheetData>
      <sheetData sheetId="7">
        <row r="7">
          <cell r="A7" t="str">
            <v>Alameda</v>
          </cell>
          <cell r="B7">
            <v>102</v>
          </cell>
          <cell r="C7">
            <v>13031314.611815382</v>
          </cell>
          <cell r="D7">
            <v>4142221.4290307336</v>
          </cell>
          <cell r="E7">
            <v>2343285</v>
          </cell>
        </row>
        <row r="8">
          <cell r="A8" t="str">
            <v>Alpine</v>
          </cell>
          <cell r="B8">
            <v>0.2</v>
          </cell>
          <cell r="C8">
            <v>14843.675999999999</v>
          </cell>
          <cell r="D8">
            <v>7284.6824337600001</v>
          </cell>
          <cell r="E8">
            <v>7712.6459999999997</v>
          </cell>
        </row>
        <row r="9">
          <cell r="A9" t="str">
            <v>Amador</v>
          </cell>
          <cell r="B9">
            <v>4.8499999999999996</v>
          </cell>
          <cell r="C9">
            <v>467468.30000000005</v>
          </cell>
          <cell r="D9">
            <v>194373.31913999998</v>
          </cell>
          <cell r="E9">
            <v>58697.677999999993</v>
          </cell>
        </row>
        <row r="10">
          <cell r="A10" t="str">
            <v>Butte</v>
          </cell>
          <cell r="B10">
            <v>22.300000000000004</v>
          </cell>
          <cell r="C10">
            <v>1801012.8638761204</v>
          </cell>
          <cell r="D10">
            <v>609459.55256522004</v>
          </cell>
          <cell r="E10">
            <v>374338.88200000004</v>
          </cell>
        </row>
        <row r="11">
          <cell r="A11" t="str">
            <v>Calaveras</v>
          </cell>
          <cell r="B11">
            <v>5</v>
          </cell>
          <cell r="C11">
            <v>450098.58400000003</v>
          </cell>
          <cell r="D11">
            <v>103123.2477912</v>
          </cell>
          <cell r="E11">
            <v>33658.78</v>
          </cell>
        </row>
        <row r="12">
          <cell r="A12" t="str">
            <v>Colusa</v>
          </cell>
          <cell r="B12">
            <v>4.45</v>
          </cell>
          <cell r="C12">
            <v>275489.75</v>
          </cell>
          <cell r="D12">
            <v>122176.45837499999</v>
          </cell>
          <cell r="E12">
            <v>58308.46</v>
          </cell>
        </row>
        <row r="13">
          <cell r="A13" t="str">
            <v>Contra Costa</v>
          </cell>
          <cell r="B13">
            <v>48.540000000000006</v>
          </cell>
          <cell r="C13">
            <v>5021567.2600000007</v>
          </cell>
          <cell r="D13">
            <v>1509549.9726571194</v>
          </cell>
          <cell r="E13">
            <v>1297044.9515999998</v>
          </cell>
        </row>
        <row r="14">
          <cell r="A14" t="str">
            <v>Del Norte</v>
          </cell>
          <cell r="B14">
            <v>3</v>
          </cell>
          <cell r="C14">
            <v>295963.00266666664</v>
          </cell>
          <cell r="D14">
            <v>97194.250075733318</v>
          </cell>
          <cell r="E14">
            <v>86512.28</v>
          </cell>
        </row>
        <row r="15">
          <cell r="A15" t="str">
            <v>El Dorado</v>
          </cell>
          <cell r="B15">
            <v>10.9</v>
          </cell>
          <cell r="C15">
            <v>1165765.1200000001</v>
          </cell>
          <cell r="D15">
            <v>408938.74644480005</v>
          </cell>
          <cell r="E15">
            <v>194014.98099999997</v>
          </cell>
        </row>
        <row r="16">
          <cell r="A16" t="str">
            <v>Fresno</v>
          </cell>
          <cell r="B16">
            <v>61.400000000000006</v>
          </cell>
          <cell r="C16">
            <v>5617880.7699999986</v>
          </cell>
          <cell r="D16">
            <v>3321659.4935580003</v>
          </cell>
          <cell r="E16">
            <v>1062835.3317419998</v>
          </cell>
        </row>
        <row r="17">
          <cell r="A17" t="str">
            <v>Glenn</v>
          </cell>
          <cell r="B17">
            <v>1.55</v>
          </cell>
          <cell r="C17">
            <v>137864.81349999999</v>
          </cell>
          <cell r="D17">
            <v>24222.847731950002</v>
          </cell>
          <cell r="E17">
            <v>65979.774000000005</v>
          </cell>
        </row>
        <row r="18">
          <cell r="A18" t="str">
            <v>Humboldt</v>
          </cell>
          <cell r="B18">
            <v>13</v>
          </cell>
          <cell r="C18">
            <v>973623.40060000005</v>
          </cell>
          <cell r="D18">
            <v>417657.09182948794</v>
          </cell>
          <cell r="E18">
            <v>250874.11999999997</v>
          </cell>
        </row>
        <row r="19">
          <cell r="A19" t="str">
            <v>Imperial</v>
          </cell>
          <cell r="B19">
            <v>25.4</v>
          </cell>
          <cell r="C19">
            <v>1846746.7273320328</v>
          </cell>
          <cell r="D19">
            <v>424540.66960059456</v>
          </cell>
          <cell r="E19">
            <v>249532.35999999993</v>
          </cell>
        </row>
        <row r="20">
          <cell r="A20" t="str">
            <v>Inyo</v>
          </cell>
          <cell r="B20">
            <v>3.2399999999999998</v>
          </cell>
          <cell r="C20">
            <v>232096.6</v>
          </cell>
          <cell r="D20">
            <v>43635.5717</v>
          </cell>
          <cell r="E20">
            <v>50574.960000000006</v>
          </cell>
        </row>
        <row r="21">
          <cell r="A21" t="str">
            <v>Kern</v>
          </cell>
          <cell r="B21">
            <v>85</v>
          </cell>
          <cell r="C21">
            <v>7703788.4670772608</v>
          </cell>
          <cell r="D21">
            <v>3863650.4761974444</v>
          </cell>
          <cell r="E21">
            <v>1763742.8767857116</v>
          </cell>
        </row>
        <row r="22">
          <cell r="A22" t="str">
            <v>Kings</v>
          </cell>
          <cell r="B22">
            <v>15</v>
          </cell>
          <cell r="C22">
            <v>1266925.5399999998</v>
          </cell>
          <cell r="D22">
            <v>209929.56197800001</v>
          </cell>
          <cell r="E22">
            <v>305524.93</v>
          </cell>
        </row>
        <row r="23">
          <cell r="A23" t="str">
            <v>Lake</v>
          </cell>
          <cell r="B23">
            <v>4</v>
          </cell>
          <cell r="C23">
            <v>342357.51</v>
          </cell>
          <cell r="D23">
            <v>110790.3138111</v>
          </cell>
          <cell r="E23">
            <v>55139.44</v>
          </cell>
        </row>
        <row r="24">
          <cell r="A24" t="str">
            <v>Lassen</v>
          </cell>
          <cell r="B24">
            <v>3</v>
          </cell>
          <cell r="C24">
            <v>255512.29000000004</v>
          </cell>
          <cell r="D24">
            <v>46247.724489999993</v>
          </cell>
          <cell r="E24">
            <v>44230.080000000002</v>
          </cell>
        </row>
        <row r="25">
          <cell r="A25" t="str">
            <v>Los Angeles</v>
          </cell>
          <cell r="B25">
            <v>768</v>
          </cell>
          <cell r="C25">
            <v>81643152.988432631</v>
          </cell>
          <cell r="D25">
            <v>34923071.920388833</v>
          </cell>
          <cell r="E25">
            <v>18449378.395845838</v>
          </cell>
        </row>
        <row r="26">
          <cell r="A26" t="str">
            <v>Madera</v>
          </cell>
          <cell r="B26">
            <v>14</v>
          </cell>
          <cell r="C26">
            <v>1182220.1000000001</v>
          </cell>
          <cell r="D26">
            <v>513943.40563299996</v>
          </cell>
          <cell r="E26">
            <v>164108</v>
          </cell>
        </row>
        <row r="27">
          <cell r="A27" t="str">
            <v>Marin</v>
          </cell>
          <cell r="B27">
            <v>21.25</v>
          </cell>
          <cell r="C27">
            <v>2349602.5761600002</v>
          </cell>
          <cell r="D27">
            <v>534409.82629944</v>
          </cell>
          <cell r="E27">
            <v>494237.81250000006</v>
          </cell>
        </row>
        <row r="28">
          <cell r="A28" t="str">
            <v>Mariposa</v>
          </cell>
          <cell r="B28">
            <v>3.46</v>
          </cell>
          <cell r="C28">
            <v>255410.87959999999</v>
          </cell>
          <cell r="D28">
            <v>74206.230754200005</v>
          </cell>
          <cell r="E28">
            <v>51390.420000000006</v>
          </cell>
        </row>
        <row r="29">
          <cell r="A29" t="str">
            <v>Mendocino</v>
          </cell>
          <cell r="B29">
            <v>9</v>
          </cell>
          <cell r="C29">
            <v>870206</v>
          </cell>
          <cell r="D29">
            <v>430355.19075999991</v>
          </cell>
          <cell r="E29">
            <v>117343.75</v>
          </cell>
        </row>
        <row r="30">
          <cell r="A30" t="str">
            <v>Merced</v>
          </cell>
          <cell r="B30">
            <v>27</v>
          </cell>
          <cell r="C30">
            <v>2571396.2092000004</v>
          </cell>
          <cell r="D30">
            <v>1318451.6420493601</v>
          </cell>
          <cell r="E30">
            <v>482963.80930000002</v>
          </cell>
        </row>
        <row r="31">
          <cell r="A31" t="str">
            <v>Modoc</v>
          </cell>
          <cell r="B31">
            <v>1</v>
          </cell>
          <cell r="C31">
            <v>74711.28</v>
          </cell>
          <cell r="D31">
            <v>31490.804520000002</v>
          </cell>
          <cell r="E31">
            <v>21445.439999999999</v>
          </cell>
        </row>
        <row r="32">
          <cell r="A32" t="str">
            <v>Mono</v>
          </cell>
          <cell r="B32">
            <v>4</v>
          </cell>
          <cell r="C32">
            <v>391191.76299999998</v>
          </cell>
          <cell r="D32">
            <v>127282.08113450001</v>
          </cell>
          <cell r="E32">
            <v>129071.3</v>
          </cell>
        </row>
        <row r="33">
          <cell r="A33" t="str">
            <v>Monterey</v>
          </cell>
          <cell r="B33">
            <v>34</v>
          </cell>
          <cell r="C33">
            <v>3565289.5200000005</v>
          </cell>
          <cell r="D33">
            <v>599696.21628000005</v>
          </cell>
          <cell r="E33">
            <v>994003.30415076879</v>
          </cell>
        </row>
        <row r="34">
          <cell r="A34" t="str">
            <v>Napa</v>
          </cell>
          <cell r="B34">
            <v>11.5</v>
          </cell>
          <cell r="C34">
            <v>1284380</v>
          </cell>
          <cell r="D34">
            <v>350654.03040000005</v>
          </cell>
          <cell r="E34">
            <v>278786.5</v>
          </cell>
        </row>
        <row r="35">
          <cell r="A35" t="str">
            <v>Nevada</v>
          </cell>
          <cell r="B35">
            <v>8</v>
          </cell>
          <cell r="C35">
            <v>684566.9959973559</v>
          </cell>
          <cell r="D35">
            <v>352346.63283983909</v>
          </cell>
          <cell r="E35">
            <v>233166.07999999999</v>
          </cell>
        </row>
        <row r="36">
          <cell r="A36" t="str">
            <v>Orange</v>
          </cell>
          <cell r="B36">
            <v>194.58716475095787</v>
          </cell>
          <cell r="C36">
            <v>19017498.14056002</v>
          </cell>
          <cell r="D36">
            <v>7496227.9553589337</v>
          </cell>
          <cell r="E36">
            <v>3238337.2000224134</v>
          </cell>
        </row>
        <row r="37">
          <cell r="A37" t="str">
            <v>Placer</v>
          </cell>
          <cell r="B37">
            <v>30.75</v>
          </cell>
          <cell r="C37">
            <v>2863022.5</v>
          </cell>
          <cell r="D37">
            <v>1073633.4374999998</v>
          </cell>
          <cell r="E37">
            <v>935366</v>
          </cell>
        </row>
        <row r="38">
          <cell r="A38" t="str">
            <v>Plumas</v>
          </cell>
          <cell r="B38">
            <v>1.8</v>
          </cell>
          <cell r="C38">
            <v>135401.76</v>
          </cell>
          <cell r="D38">
            <v>56746.877616000012</v>
          </cell>
          <cell r="E38">
            <v>58238.100000000006</v>
          </cell>
        </row>
        <row r="39">
          <cell r="A39" t="str">
            <v>Riverside</v>
          </cell>
          <cell r="B39">
            <v>107.26</v>
          </cell>
          <cell r="C39">
            <v>12109290.755639996</v>
          </cell>
          <cell r="D39">
            <v>4782772.0171695091</v>
          </cell>
          <cell r="E39">
            <v>2617595.071200002</v>
          </cell>
        </row>
        <row r="40">
          <cell r="A40" t="str">
            <v>Sacramento</v>
          </cell>
          <cell r="B40">
            <v>100.46</v>
          </cell>
          <cell r="C40">
            <v>11578791.495052796</v>
          </cell>
          <cell r="D40">
            <v>4958806.7257337589</v>
          </cell>
          <cell r="E40">
            <v>2311486.1115095192</v>
          </cell>
        </row>
        <row r="41">
          <cell r="A41" t="str">
            <v>San Benito</v>
          </cell>
          <cell r="B41">
            <v>6</v>
          </cell>
          <cell r="C41">
            <v>692110.54700000002</v>
          </cell>
          <cell r="D41">
            <v>120704.07939679999</v>
          </cell>
          <cell r="E41">
            <v>128751.84999999998</v>
          </cell>
        </row>
        <row r="42">
          <cell r="A42" t="str">
            <v>San Bernardino</v>
          </cell>
          <cell r="B42">
            <v>142.31</v>
          </cell>
          <cell r="C42">
            <v>14033154.458000008</v>
          </cell>
          <cell r="D42">
            <v>4557852.0414582016</v>
          </cell>
          <cell r="E42">
            <v>2496730.082448055</v>
          </cell>
        </row>
        <row r="43">
          <cell r="A43" t="str">
            <v>San Diego</v>
          </cell>
          <cell r="B43">
            <v>162.05999999999992</v>
          </cell>
          <cell r="C43">
            <v>16777491.762799989</v>
          </cell>
          <cell r="D43">
            <v>8862722.556292031</v>
          </cell>
          <cell r="E43">
            <v>4187932.3568669758</v>
          </cell>
        </row>
        <row r="44">
          <cell r="A44" t="str">
            <v>San Francisco</v>
          </cell>
          <cell r="B44">
            <v>40</v>
          </cell>
          <cell r="C44">
            <v>4943393.0899999989</v>
          </cell>
          <cell r="D44">
            <v>1584995.6139350003</v>
          </cell>
          <cell r="E44">
            <v>1563032.7599999991</v>
          </cell>
        </row>
        <row r="45">
          <cell r="A45" t="str">
            <v>San Joaquin</v>
          </cell>
          <cell r="B45">
            <v>34.935000000000002</v>
          </cell>
          <cell r="C45">
            <v>3583338.2064000005</v>
          </cell>
          <cell r="D45">
            <v>1931319.057397532</v>
          </cell>
          <cell r="E45">
            <v>518757.97979999997</v>
          </cell>
        </row>
        <row r="46">
          <cell r="A46" t="str">
            <v>San Luis Obispo</v>
          </cell>
          <cell r="B46">
            <v>20</v>
          </cell>
          <cell r="C46">
            <v>2285092</v>
          </cell>
          <cell r="D46">
            <v>1181977.7671999999</v>
          </cell>
          <cell r="E46">
            <v>342011.67999999988</v>
          </cell>
        </row>
        <row r="47">
          <cell r="A47" t="str">
            <v>San Mateo</v>
          </cell>
          <cell r="B47">
            <v>65.95</v>
          </cell>
          <cell r="C47">
            <v>7474751.1576470602</v>
          </cell>
          <cell r="D47">
            <v>2506271.1586230588</v>
          </cell>
          <cell r="E47">
            <v>1844621.5</v>
          </cell>
        </row>
        <row r="48">
          <cell r="A48" t="str">
            <v>Santa Barbara</v>
          </cell>
          <cell r="B48">
            <v>32.075000000000003</v>
          </cell>
          <cell r="C48">
            <v>3383042.0921000009</v>
          </cell>
          <cell r="D48">
            <v>1439943.1202940969</v>
          </cell>
          <cell r="E48">
            <v>592819.99499999988</v>
          </cell>
        </row>
        <row r="49">
          <cell r="A49" t="str">
            <v>Santa Clara</v>
          </cell>
          <cell r="B49">
            <v>87.600000000000009</v>
          </cell>
          <cell r="C49">
            <v>10744839.034672637</v>
          </cell>
          <cell r="D49">
            <v>3897158.7593451152</v>
          </cell>
          <cell r="E49">
            <v>2166027.7219331656</v>
          </cell>
        </row>
        <row r="50">
          <cell r="A50" t="str">
            <v>Santa Cruz</v>
          </cell>
          <cell r="B50">
            <v>16.192307692307693</v>
          </cell>
          <cell r="C50">
            <v>1979507.0678849095</v>
          </cell>
          <cell r="D50">
            <v>770707.95672761602</v>
          </cell>
          <cell r="E50">
            <v>432275.77160853305</v>
          </cell>
        </row>
        <row r="51">
          <cell r="A51" t="str">
            <v>Shasta</v>
          </cell>
          <cell r="B51">
            <v>21</v>
          </cell>
          <cell r="C51">
            <v>1873972.67</v>
          </cell>
          <cell r="D51">
            <v>327008.23091500002</v>
          </cell>
          <cell r="E51">
            <v>578544.12589913351</v>
          </cell>
        </row>
        <row r="52">
          <cell r="A52" t="str">
            <v>Sierra</v>
          </cell>
          <cell r="B52">
            <v>1.53</v>
          </cell>
          <cell r="C52">
            <v>106950.05</v>
          </cell>
          <cell r="D52">
            <v>45560.721300000005</v>
          </cell>
          <cell r="E52">
            <v>56203.01999999999</v>
          </cell>
        </row>
        <row r="53">
          <cell r="A53" t="str">
            <v>Siskiyou</v>
          </cell>
          <cell r="B53">
            <v>2.7</v>
          </cell>
          <cell r="C53">
            <v>290627.95</v>
          </cell>
          <cell r="D53">
            <v>135531.438203</v>
          </cell>
          <cell r="E53">
            <v>78344.063999999998</v>
          </cell>
        </row>
        <row r="54">
          <cell r="A54" t="str">
            <v>Solano</v>
          </cell>
          <cell r="B54">
            <v>20</v>
          </cell>
          <cell r="C54">
            <v>2046661.7851546886</v>
          </cell>
          <cell r="D54">
            <v>1094738.6099479888</v>
          </cell>
          <cell r="E54">
            <v>431008.11199999991</v>
          </cell>
        </row>
        <row r="55">
          <cell r="A55" t="str">
            <v>Sonoma</v>
          </cell>
          <cell r="B55">
            <v>22.5</v>
          </cell>
          <cell r="C55">
            <v>2397524.5086799995</v>
          </cell>
          <cell r="D55">
            <v>1024548.0123872049</v>
          </cell>
          <cell r="E55">
            <v>501476.02999999997</v>
          </cell>
        </row>
        <row r="56">
          <cell r="A56" t="str">
            <v>Stanislaus</v>
          </cell>
          <cell r="B56">
            <v>39.450000000000003</v>
          </cell>
          <cell r="C56">
            <v>4121197.9699999988</v>
          </cell>
          <cell r="D56">
            <v>1499408.9915601995</v>
          </cell>
          <cell r="E56">
            <v>828796.66899999953</v>
          </cell>
        </row>
        <row r="57">
          <cell r="A57" t="str">
            <v>Sutter</v>
          </cell>
          <cell r="B57">
            <v>12</v>
          </cell>
          <cell r="C57">
            <v>1115550.8700000001</v>
          </cell>
          <cell r="D57">
            <v>524237.40488799999</v>
          </cell>
          <cell r="E57">
            <v>326968.64</v>
          </cell>
        </row>
        <row r="58">
          <cell r="A58" t="str">
            <v>Tehama</v>
          </cell>
          <cell r="B58">
            <v>5.9</v>
          </cell>
          <cell r="C58">
            <v>515254.72800000006</v>
          </cell>
          <cell r="D58">
            <v>211821.21868079997</v>
          </cell>
          <cell r="E58">
            <v>154630.26800000001</v>
          </cell>
        </row>
        <row r="59">
          <cell r="A59" t="str">
            <v>Trinity</v>
          </cell>
          <cell r="B59">
            <v>1.62</v>
          </cell>
          <cell r="C59">
            <v>85332.47</v>
          </cell>
          <cell r="D59">
            <v>33794.495030000005</v>
          </cell>
          <cell r="E59">
            <v>10899</v>
          </cell>
        </row>
        <row r="60">
          <cell r="A60" t="str">
            <v>Tulare</v>
          </cell>
          <cell r="B60">
            <v>29.75</v>
          </cell>
          <cell r="C60">
            <v>2961006.01</v>
          </cell>
          <cell r="D60">
            <v>926464.27046250005</v>
          </cell>
          <cell r="E60">
            <v>1138229.7550000004</v>
          </cell>
        </row>
        <row r="61">
          <cell r="A61" t="str">
            <v>Tuolumne</v>
          </cell>
          <cell r="B61">
            <v>6</v>
          </cell>
          <cell r="C61">
            <v>610725</v>
          </cell>
          <cell r="D61">
            <v>200147.12950000001</v>
          </cell>
          <cell r="E61">
            <v>212817.56999999998</v>
          </cell>
        </row>
        <row r="62">
          <cell r="A62" t="str">
            <v>Ventura</v>
          </cell>
          <cell r="B62">
            <v>48.018800000000006</v>
          </cell>
          <cell r="C62">
            <v>5961319.4514720002</v>
          </cell>
          <cell r="D62">
            <v>1673853.6439231816</v>
          </cell>
          <cell r="E62">
            <v>1093846.9676400006</v>
          </cell>
        </row>
        <row r="63">
          <cell r="A63" t="str">
            <v>Yolo</v>
          </cell>
          <cell r="B63">
            <v>16</v>
          </cell>
          <cell r="C63">
            <v>1617221.8299999998</v>
          </cell>
          <cell r="D63">
            <v>305944.6458639999</v>
          </cell>
          <cell r="E63">
            <v>856321.01</v>
          </cell>
        </row>
        <row r="64">
          <cell r="A64" t="str">
            <v>Yuba</v>
          </cell>
          <cell r="B64">
            <v>8</v>
          </cell>
          <cell r="C64">
            <v>824173.62999999989</v>
          </cell>
          <cell r="D64">
            <v>89093.169403000007</v>
          </cell>
          <cell r="E64">
            <v>189092.92</v>
          </cell>
        </row>
      </sheetData>
      <sheetData sheetId="8">
        <row r="7">
          <cell r="B7" t="str">
            <v>Alameda</v>
          </cell>
          <cell r="D7">
            <v>1</v>
          </cell>
          <cell r="E7">
            <v>308268.96000000002</v>
          </cell>
        </row>
        <row r="8">
          <cell r="B8" t="str">
            <v>Alpine</v>
          </cell>
          <cell r="D8">
            <v>0.99999999999999989</v>
          </cell>
          <cell r="E8">
            <v>140400</v>
          </cell>
        </row>
        <row r="9">
          <cell r="B9" t="str">
            <v>Amador</v>
          </cell>
          <cell r="D9">
            <v>1</v>
          </cell>
          <cell r="E9">
            <v>174236.14</v>
          </cell>
        </row>
        <row r="10">
          <cell r="B10" t="str">
            <v>Butte</v>
          </cell>
          <cell r="D10">
            <v>1</v>
          </cell>
          <cell r="E10">
            <v>209486.82300000003</v>
          </cell>
        </row>
        <row r="11">
          <cell r="B11" t="str">
            <v>Calaveras</v>
          </cell>
          <cell r="D11">
            <v>1</v>
          </cell>
          <cell r="E11">
            <v>158799.2224</v>
          </cell>
        </row>
        <row r="12">
          <cell r="B12" t="str">
            <v>Colusa</v>
          </cell>
          <cell r="D12">
            <v>1</v>
          </cell>
          <cell r="E12">
            <v>144441</v>
          </cell>
        </row>
        <row r="13">
          <cell r="B13" t="str">
            <v>Contra Costa</v>
          </cell>
          <cell r="D13">
            <v>1</v>
          </cell>
          <cell r="E13">
            <v>248613.80000000005</v>
          </cell>
        </row>
        <row r="14">
          <cell r="B14" t="str">
            <v>Del Norte</v>
          </cell>
          <cell r="D14">
            <v>1</v>
          </cell>
          <cell r="E14">
            <v>139666.66666666666</v>
          </cell>
        </row>
        <row r="15">
          <cell r="B15" t="str">
            <v>El Dorado</v>
          </cell>
          <cell r="D15">
            <v>1</v>
          </cell>
          <cell r="E15">
            <v>226553.60000000001</v>
          </cell>
        </row>
        <row r="16">
          <cell r="B16" t="str">
            <v>Fresno</v>
          </cell>
          <cell r="D16">
            <v>1</v>
          </cell>
          <cell r="E16">
            <v>234855.09</v>
          </cell>
        </row>
        <row r="17">
          <cell r="B17" t="str">
            <v>Glenn</v>
          </cell>
          <cell r="D17">
            <v>1</v>
          </cell>
          <cell r="E17">
            <v>160000</v>
          </cell>
        </row>
        <row r="18">
          <cell r="B18" t="str">
            <v>Humboldt</v>
          </cell>
          <cell r="D18">
            <v>1</v>
          </cell>
          <cell r="E18">
            <v>162697</v>
          </cell>
        </row>
        <row r="19">
          <cell r="B19" t="str">
            <v>Imperial</v>
          </cell>
          <cell r="D19">
            <v>1</v>
          </cell>
          <cell r="E19">
            <v>208788.44896000001</v>
          </cell>
        </row>
        <row r="20">
          <cell r="B20" t="str">
            <v>Inyo</v>
          </cell>
          <cell r="D20">
            <v>1</v>
          </cell>
          <cell r="E20">
            <v>180000</v>
          </cell>
        </row>
        <row r="21">
          <cell r="B21" t="str">
            <v>Kern</v>
          </cell>
          <cell r="D21">
            <v>1</v>
          </cell>
          <cell r="E21">
            <v>211475.56076164384</v>
          </cell>
        </row>
        <row r="22">
          <cell r="B22" t="str">
            <v>Kings</v>
          </cell>
          <cell r="D22">
            <v>1</v>
          </cell>
          <cell r="E22">
            <v>209397.17</v>
          </cell>
        </row>
        <row r="23">
          <cell r="B23" t="str">
            <v>Lake</v>
          </cell>
          <cell r="D23">
            <v>1</v>
          </cell>
          <cell r="E23">
            <v>230984.95</v>
          </cell>
        </row>
        <row r="24">
          <cell r="B24" t="str">
            <v>Lassen</v>
          </cell>
          <cell r="D24">
            <v>1</v>
          </cell>
          <cell r="E24">
            <v>154459.79999999999</v>
          </cell>
        </row>
        <row r="25">
          <cell r="B25" t="str">
            <v>Los Angeles</v>
          </cell>
          <cell r="D25">
            <v>1</v>
          </cell>
          <cell r="E25">
            <v>460766.4</v>
          </cell>
        </row>
        <row r="26">
          <cell r="B26" t="str">
            <v>Madera</v>
          </cell>
          <cell r="D26">
            <v>1</v>
          </cell>
          <cell r="E26">
            <v>198597.97</v>
          </cell>
        </row>
        <row r="27">
          <cell r="B27" t="str">
            <v>Marin</v>
          </cell>
          <cell r="D27">
            <v>1</v>
          </cell>
          <cell r="E27">
            <v>280000</v>
          </cell>
        </row>
        <row r="28">
          <cell r="B28" t="str">
            <v>Mariposa</v>
          </cell>
          <cell r="D28">
            <v>1</v>
          </cell>
          <cell r="E28">
            <v>133116.38</v>
          </cell>
        </row>
        <row r="29">
          <cell r="B29" t="str">
            <v>Mendocino</v>
          </cell>
          <cell r="D29">
            <v>1</v>
          </cell>
          <cell r="E29">
            <v>248472</v>
          </cell>
        </row>
        <row r="30">
          <cell r="B30" t="str">
            <v>Merced</v>
          </cell>
          <cell r="D30">
            <v>1</v>
          </cell>
          <cell r="E30">
            <v>202632.976</v>
          </cell>
        </row>
        <row r="31">
          <cell r="B31" t="str">
            <v>Modoc</v>
          </cell>
          <cell r="D31">
            <v>1</v>
          </cell>
          <cell r="E31">
            <v>140679.24</v>
          </cell>
        </row>
        <row r="32">
          <cell r="B32" t="str">
            <v>Mono</v>
          </cell>
          <cell r="D32">
            <v>1</v>
          </cell>
          <cell r="E32">
            <v>147127</v>
          </cell>
        </row>
        <row r="33">
          <cell r="B33" t="str">
            <v>Monterey</v>
          </cell>
          <cell r="D33">
            <v>1</v>
          </cell>
          <cell r="E33">
            <v>227500</v>
          </cell>
        </row>
        <row r="34">
          <cell r="B34" t="str">
            <v>Napa</v>
          </cell>
          <cell r="D34">
            <v>1</v>
          </cell>
          <cell r="E34">
            <v>230544</v>
          </cell>
        </row>
        <row r="35">
          <cell r="B35" t="str">
            <v>Nevada</v>
          </cell>
          <cell r="D35">
            <v>1</v>
          </cell>
          <cell r="E35">
            <v>202707.15</v>
          </cell>
        </row>
        <row r="36">
          <cell r="B36" t="str">
            <v>Orange</v>
          </cell>
          <cell r="D36">
            <v>1</v>
          </cell>
          <cell r="E36">
            <v>319329</v>
          </cell>
        </row>
        <row r="37">
          <cell r="B37" t="str">
            <v>Placer</v>
          </cell>
          <cell r="D37">
            <v>1</v>
          </cell>
          <cell r="E37">
            <v>258752.04</v>
          </cell>
        </row>
        <row r="38">
          <cell r="B38" t="str">
            <v>Plumas</v>
          </cell>
          <cell r="D38">
            <v>2</v>
          </cell>
          <cell r="E38">
            <v>160000</v>
          </cell>
        </row>
        <row r="39">
          <cell r="B39" t="str">
            <v>Riverside</v>
          </cell>
          <cell r="D39">
            <v>1</v>
          </cell>
          <cell r="E39">
            <v>278532.28000000003</v>
          </cell>
        </row>
        <row r="40">
          <cell r="B40" t="str">
            <v>Sacramento</v>
          </cell>
          <cell r="D40">
            <v>1</v>
          </cell>
          <cell r="E40">
            <v>274050</v>
          </cell>
        </row>
        <row r="41">
          <cell r="B41" t="str">
            <v>San Benito</v>
          </cell>
          <cell r="D41">
            <v>1</v>
          </cell>
          <cell r="E41">
            <v>205504</v>
          </cell>
        </row>
        <row r="42">
          <cell r="B42" t="str">
            <v>San Bernardino</v>
          </cell>
          <cell r="D42">
            <v>1</v>
          </cell>
          <cell r="E42">
            <v>303085.36</v>
          </cell>
        </row>
        <row r="43">
          <cell r="B43" t="str">
            <v>San Diego</v>
          </cell>
          <cell r="D43">
            <v>1</v>
          </cell>
          <cell r="E43">
            <v>320226.09000000003</v>
          </cell>
        </row>
        <row r="44">
          <cell r="B44" t="str">
            <v>San Francisco</v>
          </cell>
          <cell r="D44">
            <v>1</v>
          </cell>
          <cell r="E44">
            <v>266163.80999999907</v>
          </cell>
        </row>
        <row r="45">
          <cell r="B45" t="str">
            <v>San Joaquin</v>
          </cell>
          <cell r="D45">
            <v>1</v>
          </cell>
          <cell r="E45">
            <v>267855.18</v>
          </cell>
        </row>
        <row r="46">
          <cell r="B46" t="str">
            <v>San Luis Obispo</v>
          </cell>
          <cell r="D46">
            <v>1</v>
          </cell>
          <cell r="E46">
            <v>239720</v>
          </cell>
        </row>
        <row r="47">
          <cell r="B47" t="str">
            <v>San Mateo</v>
          </cell>
          <cell r="D47">
            <v>1</v>
          </cell>
          <cell r="E47">
            <v>279094.40000000002</v>
          </cell>
        </row>
        <row r="48">
          <cell r="B48" t="str">
            <v>Santa Barbara</v>
          </cell>
          <cell r="D48">
            <v>1</v>
          </cell>
          <cell r="E48">
            <v>241318.68799999999</v>
          </cell>
        </row>
        <row r="49">
          <cell r="B49" t="str">
            <v>Santa Clara</v>
          </cell>
          <cell r="D49">
            <v>1</v>
          </cell>
          <cell r="E49">
            <v>311131.03999999998</v>
          </cell>
        </row>
        <row r="50">
          <cell r="B50" t="str">
            <v>Santa Cruz</v>
          </cell>
          <cell r="D50">
            <v>1</v>
          </cell>
          <cell r="E50">
            <v>227554.45439999999</v>
          </cell>
        </row>
        <row r="51">
          <cell r="B51" t="str">
            <v>Shasta</v>
          </cell>
          <cell r="D51">
            <v>1</v>
          </cell>
          <cell r="E51">
            <v>209411.07</v>
          </cell>
        </row>
        <row r="52">
          <cell r="B52" t="str">
            <v>Sierra</v>
          </cell>
          <cell r="D52">
            <v>1</v>
          </cell>
          <cell r="E52">
            <v>164385</v>
          </cell>
        </row>
        <row r="53">
          <cell r="B53" t="str">
            <v>Siskiyou</v>
          </cell>
          <cell r="D53">
            <v>1</v>
          </cell>
          <cell r="E53">
            <v>202707</v>
          </cell>
        </row>
        <row r="54">
          <cell r="B54" t="str">
            <v>Solano</v>
          </cell>
          <cell r="D54">
            <v>1</v>
          </cell>
          <cell r="E54">
            <v>242186.36624491803</v>
          </cell>
        </row>
        <row r="55">
          <cell r="B55" t="str">
            <v>Sonoma</v>
          </cell>
          <cell r="D55">
            <v>1</v>
          </cell>
          <cell r="E55">
            <v>228955.19</v>
          </cell>
        </row>
        <row r="56">
          <cell r="B56" t="str">
            <v>Stanislaus</v>
          </cell>
          <cell r="D56">
            <v>1</v>
          </cell>
          <cell r="E56">
            <v>250234.2</v>
          </cell>
        </row>
        <row r="57">
          <cell r="B57" t="str">
            <v>Sutter</v>
          </cell>
          <cell r="D57">
            <v>1</v>
          </cell>
          <cell r="E57">
            <v>206306.88</v>
          </cell>
        </row>
        <row r="58">
          <cell r="B58" t="str">
            <v>Tehama</v>
          </cell>
          <cell r="D58">
            <v>1</v>
          </cell>
          <cell r="E58">
            <v>204206.79</v>
          </cell>
        </row>
        <row r="59">
          <cell r="B59" t="str">
            <v>Trinity</v>
          </cell>
          <cell r="D59">
            <v>1</v>
          </cell>
          <cell r="E59">
            <v>165976.79</v>
          </cell>
        </row>
        <row r="60">
          <cell r="B60" t="str">
            <v>Tulare</v>
          </cell>
          <cell r="D60">
            <v>1</v>
          </cell>
          <cell r="E60">
            <v>227890.58</v>
          </cell>
        </row>
        <row r="61">
          <cell r="B61" t="str">
            <v>Tuolumne</v>
          </cell>
          <cell r="D61">
            <v>1</v>
          </cell>
          <cell r="E61">
            <v>180600</v>
          </cell>
        </row>
        <row r="62">
          <cell r="B62" t="str">
            <v>Ventura</v>
          </cell>
          <cell r="D62">
            <v>1</v>
          </cell>
          <cell r="E62">
            <v>295747.96999999997</v>
          </cell>
        </row>
        <row r="63">
          <cell r="B63" t="str">
            <v>Yolo</v>
          </cell>
          <cell r="D63">
            <v>1</v>
          </cell>
          <cell r="E63">
            <v>255395.09</v>
          </cell>
        </row>
        <row r="64">
          <cell r="B64" t="str">
            <v>Yuba</v>
          </cell>
          <cell r="D64">
            <v>1</v>
          </cell>
          <cell r="E64">
            <v>202707.12</v>
          </cell>
        </row>
      </sheetData>
      <sheetData sheetId="9">
        <row r="6">
          <cell r="B6">
            <v>1</v>
          </cell>
          <cell r="C6">
            <v>44638.877444937127</v>
          </cell>
        </row>
        <row r="7">
          <cell r="B7">
            <v>2</v>
          </cell>
          <cell r="C7">
            <v>23969.548911491769</v>
          </cell>
        </row>
        <row r="8">
          <cell r="B8">
            <v>3</v>
          </cell>
          <cell r="C8">
            <v>23969.548911491769</v>
          </cell>
        </row>
        <row r="9">
          <cell r="B9">
            <v>4</v>
          </cell>
          <cell r="C9">
            <v>23969.548911491769</v>
          </cell>
        </row>
      </sheetData>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FQ_AP_02_VOUCHERS_LISTING-3095"/>
    </sheetNames>
    <sheetDataSet>
      <sheetData sheetId="0">
        <row r="5">
          <cell r="B5">
            <v>1597054.0300000003</v>
          </cell>
          <cell r="C5">
            <v>585207.90000000014</v>
          </cell>
          <cell r="E5" t="str">
            <v>ALAMEDA</v>
          </cell>
        </row>
        <row r="6">
          <cell r="B6">
            <v>94436.040000000008</v>
          </cell>
          <cell r="C6">
            <v>45615.47</v>
          </cell>
          <cell r="E6" t="str">
            <v>AMADOR</v>
          </cell>
        </row>
        <row r="7">
          <cell r="B7">
            <v>114297.4</v>
          </cell>
          <cell r="C7">
            <v>122781.81</v>
          </cell>
          <cell r="E7" t="str">
            <v>BUTTE</v>
          </cell>
        </row>
        <row r="8">
          <cell r="B8">
            <v>98107.970000000016</v>
          </cell>
          <cell r="C8">
            <v>24369.199999999997</v>
          </cell>
          <cell r="E8" t="str">
            <v>CALAVERAS</v>
          </cell>
        </row>
        <row r="9">
          <cell r="B9">
            <v>224057</v>
          </cell>
          <cell r="C9">
            <v>127483.30000000002</v>
          </cell>
          <cell r="E9" t="str">
            <v>SANTA CRUZ</v>
          </cell>
        </row>
        <row r="10">
          <cell r="B10">
            <v>423578.25</v>
          </cell>
          <cell r="C10">
            <v>202230.13000000003</v>
          </cell>
          <cell r="E10" t="str">
            <v>SHASTA</v>
          </cell>
        </row>
        <row r="11">
          <cell r="B11">
            <v>401369.64</v>
          </cell>
          <cell r="C11">
            <v>255296.57</v>
          </cell>
          <cell r="E11" t="str">
            <v>SAN MATEO</v>
          </cell>
        </row>
        <row r="12">
          <cell r="B12">
            <v>37383</v>
          </cell>
          <cell r="C12">
            <v>44559</v>
          </cell>
          <cell r="E12" t="str">
            <v>COLUSA</v>
          </cell>
        </row>
        <row r="13">
          <cell r="B13">
            <v>753849.99</v>
          </cell>
          <cell r="C13">
            <v>312628.05999999994</v>
          </cell>
          <cell r="E13" t="str">
            <v>CONTRA COSTA</v>
          </cell>
        </row>
        <row r="14">
          <cell r="B14">
            <v>2188500.7200000002</v>
          </cell>
          <cell r="C14">
            <v>482115.00000000012</v>
          </cell>
          <cell r="E14" t="str">
            <v>FRESNO</v>
          </cell>
        </row>
        <row r="15">
          <cell r="B15">
            <v>184353</v>
          </cell>
          <cell r="C15">
            <v>76829.52</v>
          </cell>
          <cell r="E15" t="str">
            <v>MENDOCINO</v>
          </cell>
        </row>
        <row r="16">
          <cell r="B16">
            <v>55092.299999999996</v>
          </cell>
          <cell r="C16">
            <v>53989.650000000009</v>
          </cell>
          <cell r="E16" t="str">
            <v>DEL NORTE</v>
          </cell>
        </row>
        <row r="17">
          <cell r="B17">
            <v>115071.17000000001</v>
          </cell>
          <cell r="C17">
            <v>25992.360000000004</v>
          </cell>
          <cell r="E17" t="str">
            <v>GLENN</v>
          </cell>
        </row>
        <row r="18">
          <cell r="B18">
            <v>124616.99</v>
          </cell>
          <cell r="C18">
            <v>93768</v>
          </cell>
          <cell r="E18" t="str">
            <v>HUMBOLDT</v>
          </cell>
        </row>
        <row r="19">
          <cell r="B19">
            <v>293896.96999999997</v>
          </cell>
          <cell r="C19">
            <v>16698.55</v>
          </cell>
          <cell r="E19" t="str">
            <v>IMPERIAL</v>
          </cell>
        </row>
        <row r="20">
          <cell r="B20">
            <v>10384.33</v>
          </cell>
          <cell r="C20">
            <v>26822.5</v>
          </cell>
          <cell r="E20" t="str">
            <v>INYO</v>
          </cell>
        </row>
        <row r="21">
          <cell r="B21">
            <v>1178799.98</v>
          </cell>
          <cell r="C21">
            <v>481848.35</v>
          </cell>
          <cell r="E21" t="str">
            <v>KERN</v>
          </cell>
        </row>
        <row r="22">
          <cell r="B22">
            <v>250833.56999999995</v>
          </cell>
          <cell r="C22">
            <v>20976.78</v>
          </cell>
          <cell r="E22" t="str">
            <v>KINGS</v>
          </cell>
        </row>
        <row r="23">
          <cell r="B23">
            <v>131827.62</v>
          </cell>
          <cell r="C23">
            <v>71145.279999999999</v>
          </cell>
          <cell r="E23" t="str">
            <v>LAKE</v>
          </cell>
        </row>
        <row r="24">
          <cell r="B24">
            <v>50031.85</v>
          </cell>
          <cell r="C24">
            <v>68658</v>
          </cell>
          <cell r="E24" t="str">
            <v>LASSEN</v>
          </cell>
        </row>
        <row r="25">
          <cell r="B25">
            <v>302675.24</v>
          </cell>
          <cell r="C25">
            <v>95424.59</v>
          </cell>
          <cell r="E25" t="str">
            <v>MADERA</v>
          </cell>
        </row>
        <row r="26">
          <cell r="B26">
            <v>120737.97</v>
          </cell>
          <cell r="C26">
            <v>112833.82999999999</v>
          </cell>
          <cell r="E26" t="str">
            <v>MARIN</v>
          </cell>
        </row>
        <row r="27">
          <cell r="B27">
            <v>21168.879999999997</v>
          </cell>
          <cell r="C27">
            <v>1588.5600000000002</v>
          </cell>
          <cell r="E27" t="str">
            <v>MARIPOSA</v>
          </cell>
        </row>
        <row r="28">
          <cell r="B28">
            <v>597631.96</v>
          </cell>
          <cell r="C28">
            <v>149734.49</v>
          </cell>
          <cell r="E28" t="str">
            <v>MERCED</v>
          </cell>
        </row>
        <row r="29">
          <cell r="B29"/>
          <cell r="C29">
            <v>71817.999999999985</v>
          </cell>
          <cell r="E29" t="str">
            <v>MODOC</v>
          </cell>
        </row>
        <row r="30">
          <cell r="B30">
            <v>9453.34</v>
          </cell>
          <cell r="C30">
            <v>42183.679999999993</v>
          </cell>
          <cell r="E30" t="str">
            <v>MONO</v>
          </cell>
        </row>
        <row r="31">
          <cell r="B31">
            <v>457375.21000000008</v>
          </cell>
          <cell r="C31">
            <v>187302</v>
          </cell>
          <cell r="E31" t="str">
            <v>MONTEREY</v>
          </cell>
        </row>
        <row r="32">
          <cell r="B32">
            <v>65440.509999999995</v>
          </cell>
          <cell r="C32">
            <v>98609.000000000015</v>
          </cell>
          <cell r="E32" t="str">
            <v>NAPA</v>
          </cell>
        </row>
        <row r="33">
          <cell r="B33">
            <v>209499.13000000003</v>
          </cell>
          <cell r="C33">
            <v>116578.99999999999</v>
          </cell>
          <cell r="E33" t="str">
            <v>NEVADA</v>
          </cell>
        </row>
        <row r="34">
          <cell r="B34">
            <v>2405296.0699999998</v>
          </cell>
          <cell r="C34">
            <v>843098.91999999993</v>
          </cell>
          <cell r="E34" t="str">
            <v>ORANGE</v>
          </cell>
        </row>
        <row r="35">
          <cell r="B35">
            <v>287433.81</v>
          </cell>
          <cell r="C35">
            <v>65269.3</v>
          </cell>
          <cell r="E35" t="str">
            <v>PLACER</v>
          </cell>
        </row>
        <row r="36">
          <cell r="B36">
            <v>70633.88</v>
          </cell>
          <cell r="C36">
            <v>61013.700000000004</v>
          </cell>
          <cell r="E36" t="str">
            <v>PLUMAS</v>
          </cell>
        </row>
        <row r="37">
          <cell r="B37">
            <v>1635589.0000000002</v>
          </cell>
          <cell r="C37">
            <v>773482.18</v>
          </cell>
          <cell r="E37" t="str">
            <v>RIVERSIDE</v>
          </cell>
        </row>
        <row r="38">
          <cell r="B38">
            <v>1893662.6300000001</v>
          </cell>
          <cell r="C38">
            <v>550713</v>
          </cell>
          <cell r="E38" t="str">
            <v>Sacramento</v>
          </cell>
        </row>
        <row r="39">
          <cell r="B39">
            <v>104771.72</v>
          </cell>
          <cell r="C39">
            <v>83613</v>
          </cell>
          <cell r="E39" t="str">
            <v>SAN BENITO</v>
          </cell>
        </row>
        <row r="40">
          <cell r="B40">
            <v>3640344.1100000003</v>
          </cell>
          <cell r="C40">
            <v>741556.96</v>
          </cell>
          <cell r="E40" t="str">
            <v>SAN BERNARDINO</v>
          </cell>
        </row>
        <row r="41">
          <cell r="B41">
            <v>2769776</v>
          </cell>
          <cell r="C41">
            <v>999209.99999999988</v>
          </cell>
          <cell r="E41" t="str">
            <v>SAN DIEGO</v>
          </cell>
        </row>
        <row r="42">
          <cell r="B42">
            <v>877368.92999999993</v>
          </cell>
          <cell r="C42">
            <v>229514.20999999996</v>
          </cell>
          <cell r="E42" t="str">
            <v>SAN FRANCISCO</v>
          </cell>
        </row>
        <row r="43">
          <cell r="B43">
            <v>746480.83000000007</v>
          </cell>
          <cell r="C43">
            <v>265059.48</v>
          </cell>
          <cell r="E43" t="str">
            <v>SAN JOAQUIN</v>
          </cell>
        </row>
        <row r="44">
          <cell r="B44">
            <v>150347.75</v>
          </cell>
          <cell r="C44">
            <v>87777.75</v>
          </cell>
          <cell r="E44" t="str">
            <v>SAN LUIS OBISPO</v>
          </cell>
        </row>
        <row r="45">
          <cell r="B45">
            <v>617163.49</v>
          </cell>
          <cell r="C45">
            <v>156009.05000000002</v>
          </cell>
          <cell r="E45" t="str">
            <v>SANTA BARBARA</v>
          </cell>
        </row>
        <row r="46">
          <cell r="B46">
            <v>1362721.2400000002</v>
          </cell>
          <cell r="C46">
            <v>553162.01</v>
          </cell>
          <cell r="E46" t="str">
            <v>SANTA CLARA</v>
          </cell>
        </row>
        <row r="47">
          <cell r="B47">
            <v>58710.109999999993</v>
          </cell>
          <cell r="C47">
            <v>95795.87</v>
          </cell>
          <cell r="E47" t="str">
            <v>SISKIYOU</v>
          </cell>
        </row>
        <row r="48">
          <cell r="B48">
            <v>581759.74</v>
          </cell>
          <cell r="C48">
            <v>168045</v>
          </cell>
          <cell r="E48" t="str">
            <v>SOLANO</v>
          </cell>
        </row>
        <row r="49">
          <cell r="B49">
            <v>164231.03999999998</v>
          </cell>
          <cell r="C49">
            <v>121098.29999999997</v>
          </cell>
          <cell r="E49" t="str">
            <v>SONOMA</v>
          </cell>
        </row>
        <row r="50">
          <cell r="B50">
            <v>935648.34</v>
          </cell>
          <cell r="C50">
            <v>293225.74000000005</v>
          </cell>
          <cell r="E50" t="str">
            <v>STANISLAUS</v>
          </cell>
        </row>
        <row r="51">
          <cell r="B51">
            <v>8021636.4300000006</v>
          </cell>
          <cell r="C51">
            <v>2872732.7499999995</v>
          </cell>
          <cell r="E51" t="str">
            <v>Los Angeles</v>
          </cell>
        </row>
        <row r="52">
          <cell r="B52">
            <v>101664.18000000001</v>
          </cell>
          <cell r="C52">
            <v>131993.27000000002</v>
          </cell>
          <cell r="E52" t="str">
            <v>EL DORADO</v>
          </cell>
        </row>
        <row r="53">
          <cell r="B53">
            <v>179253.47999999998</v>
          </cell>
          <cell r="C53">
            <v>84313.999999999985</v>
          </cell>
          <cell r="E53" t="str">
            <v>SUTTER</v>
          </cell>
        </row>
        <row r="54">
          <cell r="B54">
            <v>134835.21000000002</v>
          </cell>
          <cell r="C54">
            <v>15178.4</v>
          </cell>
          <cell r="E54" t="str">
            <v>TEHAMA</v>
          </cell>
        </row>
        <row r="55">
          <cell r="B55">
            <v>557810.92999999993</v>
          </cell>
          <cell r="C55">
            <v>388818.98</v>
          </cell>
          <cell r="E55" t="str">
            <v>TULARE</v>
          </cell>
        </row>
        <row r="56">
          <cell r="B56">
            <v>201874.34999999998</v>
          </cell>
          <cell r="C56">
            <v>78387.02</v>
          </cell>
          <cell r="E56" t="str">
            <v>TUOLUMNE</v>
          </cell>
        </row>
        <row r="57">
          <cell r="B57">
            <v>280448.48</v>
          </cell>
          <cell r="C57">
            <v>315065.59999999998</v>
          </cell>
          <cell r="E57" t="str">
            <v>VENTURA</v>
          </cell>
        </row>
        <row r="58">
          <cell r="B58">
            <v>150001.34000000003</v>
          </cell>
          <cell r="C58">
            <v>116591.00000000001</v>
          </cell>
          <cell r="E58" t="str">
            <v>YOLO</v>
          </cell>
        </row>
        <row r="59">
          <cell r="B59">
            <v>180007.19</v>
          </cell>
          <cell r="C59">
            <v>68250.469999999987</v>
          </cell>
          <cell r="E59" t="str">
            <v>YUBA</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row r="11">
          <cell r="DI11">
            <v>59.419943181818184</v>
          </cell>
        </row>
      </sheetData>
      <sheetData sheetId="5">
        <row r="219">
          <cell r="BM219">
            <v>95540409.713944405</v>
          </cell>
        </row>
      </sheetData>
      <sheetData sheetId="6">
        <row r="52">
          <cell r="DM52">
            <v>119352.43466666667</v>
          </cell>
        </row>
      </sheetData>
      <sheetData sheetId="7">
        <row r="47">
          <cell r="BY47">
            <v>257811074.56695035</v>
          </cell>
        </row>
      </sheetData>
      <sheetData sheetId="8">
        <row r="4">
          <cell r="N4" t="str">
            <v>Paid Filings</v>
          </cell>
        </row>
      </sheetData>
      <sheetData sheetId="9"/>
      <sheetData sheetId="10"/>
      <sheetData sheetId="11"/>
      <sheetData sheetId="12"/>
      <sheetData sheetId="13"/>
      <sheetData sheetId="14"/>
      <sheetData sheetId="15"/>
      <sheetData sheetId="16"/>
      <sheetData sheetId="17"/>
      <sheetData sheetId="18"/>
      <sheetData sheetId="19">
        <row r="25">
          <cell r="M25">
            <v>308272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7"/>
  <sheetViews>
    <sheetView topLeftCell="A7" workbookViewId="0">
      <selection activeCell="B11" sqref="B11"/>
    </sheetView>
  </sheetViews>
  <sheetFormatPr defaultRowHeight="15" x14ac:dyDescent="0.25"/>
  <cols>
    <col min="1" max="1" width="20" bestFit="1" customWidth="1"/>
    <col min="2" max="2" width="199.42578125" bestFit="1" customWidth="1"/>
  </cols>
  <sheetData>
    <row r="1" spans="1:2" s="3" customFormat="1" x14ac:dyDescent="0.25">
      <c r="A1" s="3" t="s">
        <v>118</v>
      </c>
      <c r="B1" s="3" t="s">
        <v>64</v>
      </c>
    </row>
    <row r="2" spans="1:2" s="3" customFormat="1" x14ac:dyDescent="0.25">
      <c r="A2" t="s">
        <v>74</v>
      </c>
      <c r="B2" s="41"/>
    </row>
    <row r="3" spans="1:2" s="3" customFormat="1" x14ac:dyDescent="0.25"/>
    <row r="4" spans="1:2" x14ac:dyDescent="0.25">
      <c r="A4" t="s">
        <v>119</v>
      </c>
      <c r="B4" s="4" t="s">
        <v>209</v>
      </c>
    </row>
    <row r="5" spans="1:2" ht="30" x14ac:dyDescent="0.25">
      <c r="B5" s="4" t="s">
        <v>121</v>
      </c>
    </row>
    <row r="6" spans="1:2" x14ac:dyDescent="0.25">
      <c r="B6" s="4"/>
    </row>
    <row r="7" spans="1:2" x14ac:dyDescent="0.25">
      <c r="A7" t="s">
        <v>124</v>
      </c>
      <c r="B7" s="4" t="s">
        <v>125</v>
      </c>
    </row>
    <row r="9" spans="1:2" x14ac:dyDescent="0.25">
      <c r="A9" t="s">
        <v>120</v>
      </c>
      <c r="B9" s="4" t="s">
        <v>123</v>
      </c>
    </row>
    <row r="10" spans="1:2" x14ac:dyDescent="0.25">
      <c r="B10" s="4"/>
    </row>
    <row r="11" spans="1:2" ht="30" x14ac:dyDescent="0.25">
      <c r="A11" t="s">
        <v>122</v>
      </c>
      <c r="B11" s="4" t="s">
        <v>126</v>
      </c>
    </row>
    <row r="13" spans="1:2" x14ac:dyDescent="0.25">
      <c r="A13" t="s">
        <v>127</v>
      </c>
      <c r="B13" t="s">
        <v>134</v>
      </c>
    </row>
    <row r="15" spans="1:2" x14ac:dyDescent="0.25">
      <c r="A15" t="s">
        <v>128</v>
      </c>
      <c r="B15" t="s">
        <v>134</v>
      </c>
    </row>
    <row r="17" spans="1:2" x14ac:dyDescent="0.25">
      <c r="A17" t="s">
        <v>129</v>
      </c>
      <c r="B17" t="s">
        <v>135</v>
      </c>
    </row>
    <row r="19" spans="1:2" x14ac:dyDescent="0.25">
      <c r="A19" t="s">
        <v>130</v>
      </c>
      <c r="B19" t="s">
        <v>136</v>
      </c>
    </row>
    <row r="21" spans="1:2" x14ac:dyDescent="0.25">
      <c r="A21" t="s">
        <v>131</v>
      </c>
      <c r="B21" s="40"/>
    </row>
    <row r="23" spans="1:2" x14ac:dyDescent="0.25">
      <c r="A23" t="s">
        <v>137</v>
      </c>
      <c r="B23" t="s">
        <v>138</v>
      </c>
    </row>
    <row r="25" spans="1:2" x14ac:dyDescent="0.25">
      <c r="A25" t="s">
        <v>132</v>
      </c>
      <c r="B25" t="s">
        <v>139</v>
      </c>
    </row>
    <row r="27" spans="1:2" x14ac:dyDescent="0.25">
      <c r="A27" t="s">
        <v>133</v>
      </c>
      <c r="B27" t="s">
        <v>140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586-5771-4BEC-B6FE-F634D30EE3BF}">
  <sheetPr codeName="Sheet8">
    <tabColor rgb="FF92D050"/>
    <pageSetUpPr fitToPage="1"/>
  </sheetPr>
  <dimension ref="A1:C11"/>
  <sheetViews>
    <sheetView zoomScaleNormal="100" workbookViewId="0">
      <selection activeCell="G6" sqref="G6"/>
    </sheetView>
  </sheetViews>
  <sheetFormatPr defaultColWidth="9.42578125" defaultRowHeight="15" x14ac:dyDescent="0.25"/>
  <cols>
    <col min="1" max="1" width="10.5703125" style="53" customWidth="1"/>
    <col min="2" max="2" width="14.5703125" style="53" customWidth="1"/>
    <col min="3" max="3" width="26.42578125" style="53" customWidth="1"/>
    <col min="4" max="16384" width="9.42578125" style="53"/>
  </cols>
  <sheetData>
    <row r="1" spans="1:3" ht="18.75" x14ac:dyDescent="0.25">
      <c r="A1" s="153" t="s">
        <v>197</v>
      </c>
    </row>
    <row r="2" spans="1:3" ht="20.100000000000001" customHeight="1" x14ac:dyDescent="0.25">
      <c r="A2" s="49" t="s">
        <v>249</v>
      </c>
    </row>
    <row r="3" spans="1:3" ht="20.100000000000001" customHeight="1" x14ac:dyDescent="0.25"/>
    <row r="4" spans="1:3" ht="45" x14ac:dyDescent="0.25">
      <c r="B4" s="221" t="s">
        <v>68</v>
      </c>
      <c r="C4" s="42" t="s">
        <v>196</v>
      </c>
    </row>
    <row r="5" spans="1:3" x14ac:dyDescent="0.25">
      <c r="B5" s="78" t="s">
        <v>65</v>
      </c>
      <c r="C5" s="78" t="s">
        <v>1</v>
      </c>
    </row>
    <row r="6" spans="1:3" ht="20.100000000000001" customHeight="1" x14ac:dyDescent="0.25">
      <c r="B6" s="65">
        <v>1</v>
      </c>
      <c r="C6" s="183">
        <f>_xlfn.XLOOKUP(B6,'[11]OE&amp;E by Cluster'!$B$6:$B$9,'[11]OE&amp;E by Cluster'!$C$6:$C$9)</f>
        <v>44638.877444937127</v>
      </c>
    </row>
    <row r="7" spans="1:3" ht="20.100000000000001" customHeight="1" x14ac:dyDescent="0.25">
      <c r="B7" s="65">
        <v>2</v>
      </c>
      <c r="C7" s="183">
        <f>_xlfn.XLOOKUP(B7,'[11]OE&amp;E by Cluster'!$B$6:$B$9,'[11]OE&amp;E by Cluster'!$C$6:$C$9)</f>
        <v>23969.548911491769</v>
      </c>
    </row>
    <row r="8" spans="1:3" ht="20.100000000000001" customHeight="1" x14ac:dyDescent="0.25">
      <c r="B8" s="65">
        <v>3</v>
      </c>
      <c r="C8" s="183">
        <f>_xlfn.XLOOKUP(B8,'[11]OE&amp;E by Cluster'!$B$6:$B$9,'[11]OE&amp;E by Cluster'!$C$6:$C$9)</f>
        <v>23969.548911491769</v>
      </c>
    </row>
    <row r="9" spans="1:3" ht="20.100000000000001" customHeight="1" x14ac:dyDescent="0.25">
      <c r="B9" s="65">
        <v>4</v>
      </c>
      <c r="C9" s="183">
        <f>_xlfn.XLOOKUP(B9,'[11]OE&amp;E by Cluster'!$B$6:$B$9,'[11]OE&amp;E by Cluster'!$C$6:$C$9)</f>
        <v>23969.548911491769</v>
      </c>
    </row>
    <row r="10" spans="1:3" ht="20.100000000000001" customHeight="1" x14ac:dyDescent="0.25">
      <c r="B10" s="56"/>
    </row>
    <row r="11" spans="1:3" ht="20.100000000000001" customHeight="1" x14ac:dyDescent="0.25">
      <c r="B11" s="61" t="s">
        <v>241</v>
      </c>
    </row>
  </sheetData>
  <phoneticPr fontId="79" type="noConversion"/>
  <printOptions horizontalCentered="1"/>
  <pageMargins left="0.45" right="0.45" top="0.5" bottom="0.75" header="0.3" footer="0.3"/>
  <pageSetup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AACE-D4C9-44DF-A9FE-87DD490D0245}">
  <sheetPr codeName="Sheet11">
    <tabColor rgb="FFFF0000"/>
  </sheetPr>
  <dimension ref="A1:J64"/>
  <sheetViews>
    <sheetView workbookViewId="0">
      <selection activeCell="D11" sqref="D11"/>
    </sheetView>
  </sheetViews>
  <sheetFormatPr defaultRowHeight="15" x14ac:dyDescent="0.25"/>
  <cols>
    <col min="1" max="1" width="11" style="240" customWidth="1"/>
    <col min="2" max="2" width="14.5703125" bestFit="1" customWidth="1"/>
    <col min="3" max="4" width="15.5703125" bestFit="1" customWidth="1"/>
    <col min="5" max="5" width="20" bestFit="1" customWidth="1"/>
    <col min="7" max="7" width="15.5703125" customWidth="1"/>
    <col min="8" max="8" width="22.5703125" customWidth="1"/>
    <col min="9" max="9" width="11.42578125" bestFit="1" customWidth="1"/>
    <col min="10" max="10" width="13.42578125" customWidth="1"/>
  </cols>
  <sheetData>
    <row r="1" spans="1:10" ht="23.1" customHeight="1" x14ac:dyDescent="0.25">
      <c r="A1" s="249" t="s">
        <v>242</v>
      </c>
    </row>
    <row r="2" spans="1:10" x14ac:dyDescent="0.25">
      <c r="A2" s="49" t="s">
        <v>244</v>
      </c>
    </row>
    <row r="4" spans="1:10" ht="30" x14ac:dyDescent="0.25">
      <c r="A4" s="236" t="s">
        <v>216</v>
      </c>
      <c r="B4" s="236" t="s">
        <v>212</v>
      </c>
      <c r="C4" s="191" t="s">
        <v>213</v>
      </c>
      <c r="D4" s="191" t="s">
        <v>214</v>
      </c>
      <c r="E4" s="191" t="s">
        <v>243</v>
      </c>
    </row>
    <row r="5" spans="1:10" x14ac:dyDescent="0.25">
      <c r="A5" s="239">
        <v>1</v>
      </c>
      <c r="B5" s="254" t="s">
        <v>53</v>
      </c>
      <c r="C5" s="241">
        <f>_xlfn.XLOOKUP(B5,[12]Sheet1!$E$5:$E$59,[12]Sheet1!$B$5:$B$59,"",0)</f>
        <v>1597054.0300000003</v>
      </c>
      <c r="D5" s="241">
        <f>_xlfn.XLOOKUP(B5,[12]Sheet1!$E$5:$E$59,[12]Sheet1!$C$5:$C$59,"",0)</f>
        <v>585207.90000000014</v>
      </c>
      <c r="E5" s="242">
        <f>C5+D5</f>
        <v>2182261.9300000006</v>
      </c>
      <c r="G5" s="247"/>
      <c r="I5" s="245"/>
      <c r="J5" s="248"/>
    </row>
    <row r="6" spans="1:10" x14ac:dyDescent="0.25">
      <c r="A6" s="239">
        <v>2</v>
      </c>
      <c r="B6" s="254" t="s">
        <v>4</v>
      </c>
      <c r="C6" s="241" t="str">
        <f>_xlfn.XLOOKUP(B6,[12]Sheet1!$E$5:$E$59,[12]Sheet1!$B$5:$B$59,"",0)</f>
        <v/>
      </c>
      <c r="D6" s="241" t="str">
        <f>_xlfn.XLOOKUP(B6,[12]Sheet1!$E$5:$E$59,[12]Sheet1!$C$5:$C$59,"",0)</f>
        <v/>
      </c>
      <c r="E6" s="242"/>
      <c r="G6" s="247"/>
      <c r="I6" s="245"/>
    </row>
    <row r="7" spans="1:10" x14ac:dyDescent="0.25">
      <c r="A7" s="239">
        <v>3</v>
      </c>
      <c r="B7" s="254" t="s">
        <v>5</v>
      </c>
      <c r="C7" s="241">
        <f>_xlfn.XLOOKUP(B7,[12]Sheet1!$E$5:$E$59,[12]Sheet1!$B$5:$B$59,"",0)</f>
        <v>94436.040000000008</v>
      </c>
      <c r="D7" s="241">
        <f>_xlfn.XLOOKUP(B7,[12]Sheet1!$E$5:$E$59,[12]Sheet1!$C$5:$C$59,"",0)</f>
        <v>45615.47</v>
      </c>
      <c r="E7" s="242">
        <f t="shared" ref="E7:E62" si="0">C7+D7</f>
        <v>140051.51</v>
      </c>
      <c r="G7" s="247"/>
      <c r="I7" s="245"/>
      <c r="J7" s="248"/>
    </row>
    <row r="8" spans="1:10" x14ac:dyDescent="0.25">
      <c r="A8" s="239">
        <v>4</v>
      </c>
      <c r="B8" s="254" t="s">
        <v>19</v>
      </c>
      <c r="C8" s="241">
        <f>_xlfn.XLOOKUP(B8,[12]Sheet1!$E$5:$E$59,[12]Sheet1!$B$5:$B$59,"",0)</f>
        <v>114297.4</v>
      </c>
      <c r="D8" s="241">
        <f>_xlfn.XLOOKUP(B8,[12]Sheet1!$E$5:$E$59,[12]Sheet1!$C$5:$C$59,"",0)</f>
        <v>122781.81</v>
      </c>
      <c r="E8" s="242">
        <f t="shared" si="0"/>
        <v>237079.21</v>
      </c>
      <c r="G8" s="247"/>
      <c r="I8" s="245"/>
      <c r="J8" s="248"/>
    </row>
    <row r="9" spans="1:10" x14ac:dyDescent="0.25">
      <c r="A9" s="239">
        <v>5</v>
      </c>
      <c r="B9" s="254" t="s">
        <v>6</v>
      </c>
      <c r="C9" s="241">
        <f>_xlfn.XLOOKUP(B9,[12]Sheet1!$E$5:$E$59,[12]Sheet1!$B$5:$B$59,"",0)</f>
        <v>98107.970000000016</v>
      </c>
      <c r="D9" s="241">
        <f>_xlfn.XLOOKUP(B9,[12]Sheet1!$E$5:$E$59,[12]Sheet1!$C$5:$C$59,"",0)</f>
        <v>24369.199999999997</v>
      </c>
      <c r="E9" s="242">
        <f t="shared" si="0"/>
        <v>122477.17000000001</v>
      </c>
      <c r="G9" s="247"/>
      <c r="I9" s="245"/>
      <c r="J9" s="248"/>
    </row>
    <row r="10" spans="1:10" x14ac:dyDescent="0.25">
      <c r="A10" s="239">
        <v>6</v>
      </c>
      <c r="B10" s="254" t="s">
        <v>7</v>
      </c>
      <c r="C10" s="241">
        <f>_xlfn.XLOOKUP(B10,[12]Sheet1!$E$5:$E$59,[12]Sheet1!$B$5:$B$59,"",0)</f>
        <v>37383</v>
      </c>
      <c r="D10" s="241">
        <f>_xlfn.XLOOKUP(B10,[12]Sheet1!$E$5:$E$59,[12]Sheet1!$C$5:$C$59,"",0)</f>
        <v>44559</v>
      </c>
      <c r="E10" s="242">
        <f t="shared" si="0"/>
        <v>81942</v>
      </c>
      <c r="G10" s="247"/>
      <c r="I10" s="245"/>
      <c r="J10" s="248"/>
    </row>
    <row r="11" spans="1:10" x14ac:dyDescent="0.25">
      <c r="A11" s="239">
        <v>7</v>
      </c>
      <c r="B11" s="254" t="s">
        <v>41</v>
      </c>
      <c r="C11" s="241">
        <f>_xlfn.XLOOKUP(B11,[12]Sheet1!$E$5:$E$59,[12]Sheet1!$B$5:$B$59,"",0)</f>
        <v>753849.99</v>
      </c>
      <c r="D11" s="241">
        <f>_xlfn.XLOOKUP(B11,[12]Sheet1!$E$5:$E$59,[12]Sheet1!$C$5:$C$59,"",0)</f>
        <v>312628.05999999994</v>
      </c>
      <c r="E11" s="242">
        <f t="shared" si="0"/>
        <v>1066478.0499999998</v>
      </c>
      <c r="G11" s="247"/>
      <c r="I11" s="245"/>
      <c r="J11" s="248"/>
    </row>
    <row r="12" spans="1:10" x14ac:dyDescent="0.25">
      <c r="A12" s="239">
        <v>8</v>
      </c>
      <c r="B12" s="254" t="s">
        <v>8</v>
      </c>
      <c r="C12" s="241">
        <f>_xlfn.XLOOKUP(B12,[12]Sheet1!$E$5:$E$59,[12]Sheet1!$B$5:$B$59,"",0)</f>
        <v>55092.299999999996</v>
      </c>
      <c r="D12" s="241">
        <f>_xlfn.XLOOKUP(B12,[12]Sheet1!$E$5:$E$59,[12]Sheet1!$C$5:$C$59,"",0)</f>
        <v>53989.650000000009</v>
      </c>
      <c r="E12" s="242">
        <f t="shared" si="0"/>
        <v>109081.95000000001</v>
      </c>
      <c r="G12" s="247"/>
      <c r="I12" s="245"/>
      <c r="J12" s="248"/>
    </row>
    <row r="13" spans="1:10" x14ac:dyDescent="0.25">
      <c r="A13" s="239">
        <v>9</v>
      </c>
      <c r="B13" s="254" t="s">
        <v>20</v>
      </c>
      <c r="C13" s="241">
        <f>_xlfn.XLOOKUP(B13,[12]Sheet1!$E$5:$E$59,[12]Sheet1!$B$5:$B$59,"",0)</f>
        <v>101664.18000000001</v>
      </c>
      <c r="D13" s="241">
        <f>_xlfn.XLOOKUP(B13,[12]Sheet1!$E$5:$E$59,[12]Sheet1!$C$5:$C$59,"",0)</f>
        <v>131993.27000000002</v>
      </c>
      <c r="E13" s="242">
        <f t="shared" si="0"/>
        <v>233657.45</v>
      </c>
      <c r="G13" s="247"/>
      <c r="I13" s="245"/>
      <c r="J13" s="248"/>
    </row>
    <row r="14" spans="1:10" x14ac:dyDescent="0.25">
      <c r="A14" s="239">
        <v>10</v>
      </c>
      <c r="B14" s="254" t="s">
        <v>42</v>
      </c>
      <c r="C14" s="241">
        <f>_xlfn.XLOOKUP(B14,[12]Sheet1!$E$5:$E$59,[12]Sheet1!$B$5:$B$59,"",0)</f>
        <v>2188500.7200000002</v>
      </c>
      <c r="D14" s="241">
        <f>_xlfn.XLOOKUP(B14,[12]Sheet1!$E$5:$E$59,[12]Sheet1!$C$5:$C$59,"",0)</f>
        <v>482115.00000000012</v>
      </c>
      <c r="E14" s="242">
        <f t="shared" si="0"/>
        <v>2670615.7200000002</v>
      </c>
      <c r="G14" s="247"/>
      <c r="I14" s="248"/>
      <c r="J14" s="248"/>
    </row>
    <row r="15" spans="1:10" x14ac:dyDescent="0.25">
      <c r="A15" s="239">
        <v>11</v>
      </c>
      <c r="B15" s="254" t="s">
        <v>9</v>
      </c>
      <c r="C15" s="241">
        <f>_xlfn.XLOOKUP(B15,[12]Sheet1!$E$5:$E$59,[12]Sheet1!$B$5:$B$59,"",0)</f>
        <v>115071.17000000001</v>
      </c>
      <c r="D15" s="241">
        <f>_xlfn.XLOOKUP(B15,[12]Sheet1!$E$5:$E$59,[12]Sheet1!$C$5:$C$59,"",0)</f>
        <v>25992.360000000004</v>
      </c>
      <c r="E15" s="242">
        <f t="shared" si="0"/>
        <v>141063.53000000003</v>
      </c>
      <c r="G15" s="246"/>
      <c r="H15" s="245"/>
      <c r="I15" s="248"/>
      <c r="J15" s="248"/>
    </row>
    <row r="16" spans="1:10" x14ac:dyDescent="0.25">
      <c r="A16" s="239">
        <v>12</v>
      </c>
      <c r="B16" s="254" t="s">
        <v>21</v>
      </c>
      <c r="C16" s="241">
        <f>_xlfn.XLOOKUP(B16,[12]Sheet1!$E$5:$E$59,[12]Sheet1!$B$5:$B$59,"",0)</f>
        <v>124616.99</v>
      </c>
      <c r="D16" s="241">
        <f>_xlfn.XLOOKUP(B16,[12]Sheet1!$E$5:$E$59,[12]Sheet1!$C$5:$C$59,"",0)</f>
        <v>93768</v>
      </c>
      <c r="E16" s="242">
        <f t="shared" si="0"/>
        <v>218384.99</v>
      </c>
      <c r="G16" s="246"/>
      <c r="H16" s="245"/>
      <c r="I16" s="248"/>
      <c r="J16" s="248"/>
    </row>
    <row r="17" spans="1:10" x14ac:dyDescent="0.25">
      <c r="A17" s="239">
        <v>13</v>
      </c>
      <c r="B17" s="254" t="s">
        <v>22</v>
      </c>
      <c r="C17" s="241">
        <f>_xlfn.XLOOKUP(B17,[12]Sheet1!$E$5:$E$59,[12]Sheet1!$B$5:$B$59,"",0)</f>
        <v>293896.96999999997</v>
      </c>
      <c r="D17" s="241">
        <f>_xlfn.XLOOKUP(B17,[12]Sheet1!$E$5:$E$59,[12]Sheet1!$C$5:$C$59,"",0)</f>
        <v>16698.55</v>
      </c>
      <c r="E17" s="242">
        <f t="shared" si="0"/>
        <v>310595.51999999996</v>
      </c>
      <c r="G17" s="246"/>
      <c r="H17" s="245"/>
      <c r="I17" s="248"/>
      <c r="J17" s="248"/>
    </row>
    <row r="18" spans="1:10" x14ac:dyDescent="0.25">
      <c r="A18" s="239">
        <v>14</v>
      </c>
      <c r="B18" s="254" t="s">
        <v>10</v>
      </c>
      <c r="C18" s="241">
        <f>_xlfn.XLOOKUP(B18,[12]Sheet1!$E$5:$E$59,[12]Sheet1!$B$5:$B$59,"",0)</f>
        <v>10384.33</v>
      </c>
      <c r="D18" s="241">
        <f>_xlfn.XLOOKUP(B18,[12]Sheet1!$E$5:$E$59,[12]Sheet1!$C$5:$C$59,"",0)</f>
        <v>26822.5</v>
      </c>
      <c r="E18" s="242">
        <f t="shared" si="0"/>
        <v>37206.83</v>
      </c>
      <c r="G18" s="246"/>
      <c r="H18" s="245"/>
      <c r="I18" s="248"/>
      <c r="J18" s="248"/>
    </row>
    <row r="19" spans="1:10" x14ac:dyDescent="0.25">
      <c r="A19" s="239">
        <v>15</v>
      </c>
      <c r="B19" s="254" t="s">
        <v>43</v>
      </c>
      <c r="C19" s="241">
        <f>_xlfn.XLOOKUP(B19,[12]Sheet1!$E$5:$E$59,[12]Sheet1!$B$5:$B$59,"",0)</f>
        <v>1178799.98</v>
      </c>
      <c r="D19" s="241">
        <f>_xlfn.XLOOKUP(B19,[12]Sheet1!$E$5:$E$59,[12]Sheet1!$C$5:$C$59,"",0)</f>
        <v>481848.35</v>
      </c>
      <c r="E19" s="242">
        <f t="shared" si="0"/>
        <v>1660648.33</v>
      </c>
      <c r="G19" s="246"/>
      <c r="H19" s="245"/>
      <c r="I19" s="248"/>
      <c r="J19" s="248"/>
    </row>
    <row r="20" spans="1:10" x14ac:dyDescent="0.25">
      <c r="A20" s="239">
        <v>16</v>
      </c>
      <c r="B20" s="254" t="s">
        <v>23</v>
      </c>
      <c r="C20" s="241">
        <f>_xlfn.XLOOKUP(B20,[12]Sheet1!$E$5:$E$59,[12]Sheet1!$B$5:$B$59,"",0)</f>
        <v>250833.56999999995</v>
      </c>
      <c r="D20" s="241">
        <f>_xlfn.XLOOKUP(B20,[12]Sheet1!$E$5:$E$59,[12]Sheet1!$C$5:$C$59,"",0)</f>
        <v>20976.78</v>
      </c>
      <c r="E20" s="242">
        <f t="shared" si="0"/>
        <v>271810.34999999998</v>
      </c>
      <c r="G20" s="246"/>
      <c r="H20" s="245"/>
      <c r="I20" s="248"/>
      <c r="J20" s="248"/>
    </row>
    <row r="21" spans="1:10" x14ac:dyDescent="0.25">
      <c r="A21" s="239">
        <v>17</v>
      </c>
      <c r="B21" s="254" t="s">
        <v>24</v>
      </c>
      <c r="C21" s="241">
        <f>_xlfn.XLOOKUP(B21,[12]Sheet1!$E$5:$E$59,[12]Sheet1!$B$5:$B$59,"",0)</f>
        <v>131827.62</v>
      </c>
      <c r="D21" s="241">
        <f>_xlfn.XLOOKUP(B21,[12]Sheet1!$E$5:$E$59,[12]Sheet1!$C$5:$C$59,"",0)</f>
        <v>71145.279999999999</v>
      </c>
      <c r="E21" s="242">
        <f t="shared" si="0"/>
        <v>202972.9</v>
      </c>
      <c r="G21" s="246"/>
      <c r="H21" s="245"/>
      <c r="I21" s="248"/>
      <c r="J21" s="248"/>
    </row>
    <row r="22" spans="1:10" x14ac:dyDescent="0.25">
      <c r="A22" s="239">
        <v>18</v>
      </c>
      <c r="B22" s="254" t="s">
        <v>11</v>
      </c>
      <c r="C22" s="241">
        <f>_xlfn.XLOOKUP(B22,[12]Sheet1!$E$5:$E$59,[12]Sheet1!$B$5:$B$59,"",0)</f>
        <v>50031.85</v>
      </c>
      <c r="D22" s="241">
        <f>_xlfn.XLOOKUP(B22,[12]Sheet1!$E$5:$E$59,[12]Sheet1!$C$5:$C$59,"",0)</f>
        <v>68658</v>
      </c>
      <c r="E22" s="242">
        <f t="shared" si="0"/>
        <v>118689.85</v>
      </c>
      <c r="G22" s="246"/>
      <c r="H22" s="245"/>
      <c r="I22" s="248"/>
      <c r="J22" s="248"/>
    </row>
    <row r="23" spans="1:10" x14ac:dyDescent="0.25">
      <c r="A23" s="239">
        <v>19</v>
      </c>
      <c r="B23" s="254" t="s">
        <v>54</v>
      </c>
      <c r="C23" s="241">
        <f>_xlfn.XLOOKUP(B23,[12]Sheet1!$E$5:$E$59,[12]Sheet1!$B$5:$B$59,"",0)</f>
        <v>8021636.4300000006</v>
      </c>
      <c r="D23" s="241">
        <f>_xlfn.XLOOKUP(B23,[12]Sheet1!$E$5:$E$59,[12]Sheet1!$C$5:$C$59,"",0)</f>
        <v>2872732.7499999995</v>
      </c>
      <c r="E23" s="242">
        <f t="shared" si="0"/>
        <v>10894369.18</v>
      </c>
      <c r="G23" s="246"/>
      <c r="H23" s="245"/>
      <c r="I23" s="248"/>
      <c r="J23" s="248"/>
    </row>
    <row r="24" spans="1:10" x14ac:dyDescent="0.25">
      <c r="A24" s="239">
        <v>20</v>
      </c>
      <c r="B24" s="254" t="s">
        <v>25</v>
      </c>
      <c r="C24" s="241">
        <f>_xlfn.XLOOKUP(B24,[12]Sheet1!$E$5:$E$59,[12]Sheet1!$B$5:$B$59,"",0)</f>
        <v>302675.24</v>
      </c>
      <c r="D24" s="241">
        <f>_xlfn.XLOOKUP(B24,[12]Sheet1!$E$5:$E$59,[12]Sheet1!$C$5:$C$59,"",0)</f>
        <v>95424.59</v>
      </c>
      <c r="E24" s="242">
        <f t="shared" si="0"/>
        <v>398099.82999999996</v>
      </c>
      <c r="G24" s="246"/>
      <c r="H24" s="245"/>
      <c r="I24" s="248"/>
      <c r="J24" s="248"/>
    </row>
    <row r="25" spans="1:10" x14ac:dyDescent="0.25">
      <c r="A25" s="239">
        <v>21</v>
      </c>
      <c r="B25" s="254" t="s">
        <v>26</v>
      </c>
      <c r="C25" s="241">
        <f>_xlfn.XLOOKUP(B25,[12]Sheet1!$E$5:$E$59,[12]Sheet1!$B$5:$B$59,"",0)</f>
        <v>120737.97</v>
      </c>
      <c r="D25" s="241">
        <f>_xlfn.XLOOKUP(B25,[12]Sheet1!$E$5:$E$59,[12]Sheet1!$C$5:$C$59,"",0)</f>
        <v>112833.82999999999</v>
      </c>
      <c r="E25" s="242">
        <f t="shared" si="0"/>
        <v>233571.8</v>
      </c>
      <c r="G25" s="246"/>
      <c r="H25" s="245"/>
      <c r="I25" s="248"/>
      <c r="J25" s="248"/>
    </row>
    <row r="26" spans="1:10" x14ac:dyDescent="0.25">
      <c r="A26" s="239">
        <v>22</v>
      </c>
      <c r="B26" s="254" t="s">
        <v>12</v>
      </c>
      <c r="C26" s="241">
        <f>_xlfn.XLOOKUP(B26,[12]Sheet1!$E$5:$E$59,[12]Sheet1!$B$5:$B$59,"",0)</f>
        <v>21168.879999999997</v>
      </c>
      <c r="D26" s="241">
        <f>_xlfn.XLOOKUP(B26,[12]Sheet1!$E$5:$E$59,[12]Sheet1!$C$5:$C$59,"",0)</f>
        <v>1588.5600000000002</v>
      </c>
      <c r="E26" s="242">
        <f t="shared" si="0"/>
        <v>22757.439999999999</v>
      </c>
      <c r="G26" s="246"/>
      <c r="H26" s="245"/>
      <c r="I26" s="248"/>
      <c r="J26" s="248"/>
    </row>
    <row r="27" spans="1:10" x14ac:dyDescent="0.25">
      <c r="A27" s="239">
        <v>23</v>
      </c>
      <c r="B27" s="254" t="s">
        <v>27</v>
      </c>
      <c r="C27" s="241">
        <f>_xlfn.XLOOKUP(B27,[12]Sheet1!$E$5:$E$59,[12]Sheet1!$B$5:$B$59,"",0)</f>
        <v>184353</v>
      </c>
      <c r="D27" s="241">
        <f>_xlfn.XLOOKUP(B27,[12]Sheet1!$E$5:$E$59,[12]Sheet1!$C$5:$C$59,"",0)</f>
        <v>76829.52</v>
      </c>
      <c r="E27" s="242">
        <f t="shared" si="0"/>
        <v>261182.52000000002</v>
      </c>
      <c r="G27" s="246"/>
      <c r="H27" s="245"/>
      <c r="I27" s="248"/>
      <c r="J27" s="248"/>
    </row>
    <row r="28" spans="1:10" x14ac:dyDescent="0.25">
      <c r="A28" s="239">
        <v>24</v>
      </c>
      <c r="B28" s="254" t="s">
        <v>28</v>
      </c>
      <c r="C28" s="241">
        <f>_xlfn.XLOOKUP(B28,[12]Sheet1!$E$5:$E$59,[12]Sheet1!$B$5:$B$59,"",0)</f>
        <v>597631.96</v>
      </c>
      <c r="D28" s="241">
        <f>_xlfn.XLOOKUP(B28,[12]Sheet1!$E$5:$E$59,[12]Sheet1!$C$5:$C$59,"",0)</f>
        <v>149734.49</v>
      </c>
      <c r="E28" s="242">
        <f t="shared" si="0"/>
        <v>747366.45</v>
      </c>
      <c r="G28" s="246"/>
      <c r="H28" s="245"/>
      <c r="I28" s="248"/>
      <c r="J28" s="248"/>
    </row>
    <row r="29" spans="1:10" x14ac:dyDescent="0.25">
      <c r="A29" s="239">
        <v>25</v>
      </c>
      <c r="B29" s="254" t="s">
        <v>13</v>
      </c>
      <c r="C29" s="241">
        <f>_xlfn.XLOOKUP(B29,[12]Sheet1!$E$5:$E$59,[12]Sheet1!$B$5:$B$59,"",0)</f>
        <v>0</v>
      </c>
      <c r="D29" s="241">
        <f>_xlfn.XLOOKUP(B29,[12]Sheet1!$E$5:$E$59,[12]Sheet1!$C$5:$C$59,"",0)</f>
        <v>71817.999999999985</v>
      </c>
      <c r="E29" s="242">
        <f t="shared" si="0"/>
        <v>71817.999999999985</v>
      </c>
      <c r="G29" s="246"/>
      <c r="H29" s="245"/>
      <c r="J29" s="248"/>
    </row>
    <row r="30" spans="1:10" x14ac:dyDescent="0.25">
      <c r="A30" s="239">
        <v>26</v>
      </c>
      <c r="B30" s="254" t="s">
        <v>14</v>
      </c>
      <c r="C30" s="241">
        <f>_xlfn.XLOOKUP(B30,[12]Sheet1!$E$5:$E$59,[12]Sheet1!$B$5:$B$59,"",0)</f>
        <v>9453.34</v>
      </c>
      <c r="D30" s="241">
        <f>_xlfn.XLOOKUP(B30,[12]Sheet1!$E$5:$E$59,[12]Sheet1!$C$5:$C$59,"",0)</f>
        <v>42183.679999999993</v>
      </c>
      <c r="E30" s="242">
        <f t="shared" si="0"/>
        <v>51637.01999999999</v>
      </c>
      <c r="G30" s="246"/>
      <c r="H30" s="245"/>
      <c r="I30" s="248"/>
      <c r="J30" s="248"/>
    </row>
    <row r="31" spans="1:10" x14ac:dyDescent="0.25">
      <c r="A31" s="239">
        <v>27</v>
      </c>
      <c r="B31" s="254" t="s">
        <v>44</v>
      </c>
      <c r="C31" s="241">
        <f>_xlfn.XLOOKUP(B31,[12]Sheet1!$E$5:$E$59,[12]Sheet1!$B$5:$B$59,"",0)</f>
        <v>457375.21000000008</v>
      </c>
      <c r="D31" s="241">
        <f>_xlfn.XLOOKUP(B31,[12]Sheet1!$E$5:$E$59,[12]Sheet1!$C$5:$C$59,"",0)</f>
        <v>187302</v>
      </c>
      <c r="E31" s="242">
        <f t="shared" si="0"/>
        <v>644677.21000000008</v>
      </c>
      <c r="G31" s="246"/>
      <c r="H31" s="245"/>
      <c r="I31" s="248"/>
      <c r="J31" s="248"/>
    </row>
    <row r="32" spans="1:10" x14ac:dyDescent="0.25">
      <c r="A32" s="239">
        <v>28</v>
      </c>
      <c r="B32" s="254" t="s">
        <v>29</v>
      </c>
      <c r="C32" s="241">
        <f>_xlfn.XLOOKUP(B32,[12]Sheet1!$E$5:$E$59,[12]Sheet1!$B$5:$B$59,"",0)</f>
        <v>65440.509999999995</v>
      </c>
      <c r="D32" s="241">
        <f>_xlfn.XLOOKUP(B32,[12]Sheet1!$E$5:$E$59,[12]Sheet1!$C$5:$C$59,"",0)</f>
        <v>98609.000000000015</v>
      </c>
      <c r="E32" s="242">
        <f t="shared" si="0"/>
        <v>164049.51</v>
      </c>
      <c r="G32" s="246"/>
      <c r="H32" s="245"/>
      <c r="I32" s="248"/>
      <c r="J32" s="248"/>
    </row>
    <row r="33" spans="1:10" x14ac:dyDescent="0.25">
      <c r="A33" s="239">
        <v>29</v>
      </c>
      <c r="B33" s="254" t="s">
        <v>30</v>
      </c>
      <c r="C33" s="241">
        <f>_xlfn.XLOOKUP(B33,[12]Sheet1!$E$5:$E$59,[12]Sheet1!$B$5:$B$59,"",0)</f>
        <v>209499.13000000003</v>
      </c>
      <c r="D33" s="241">
        <f>_xlfn.XLOOKUP(B33,[12]Sheet1!$E$5:$E$59,[12]Sheet1!$C$5:$C$59,"",0)</f>
        <v>116578.99999999999</v>
      </c>
      <c r="E33" s="242">
        <f t="shared" si="0"/>
        <v>326078.13</v>
      </c>
      <c r="G33" s="246"/>
      <c r="H33" s="245"/>
      <c r="I33" s="248"/>
      <c r="J33" s="248"/>
    </row>
    <row r="34" spans="1:10" x14ac:dyDescent="0.25">
      <c r="A34" s="239">
        <v>30</v>
      </c>
      <c r="B34" s="254" t="s">
        <v>55</v>
      </c>
      <c r="C34" s="241">
        <f>_xlfn.XLOOKUP(B34,[12]Sheet1!$E$5:$E$59,[12]Sheet1!$B$5:$B$59,"",0)</f>
        <v>2405296.0699999998</v>
      </c>
      <c r="D34" s="241">
        <f>_xlfn.XLOOKUP(B34,[12]Sheet1!$E$5:$E$59,[12]Sheet1!$C$5:$C$59,"",0)</f>
        <v>843098.91999999993</v>
      </c>
      <c r="E34" s="242">
        <f t="shared" si="0"/>
        <v>3248394.9899999998</v>
      </c>
      <c r="G34" s="246"/>
      <c r="H34" s="245"/>
      <c r="I34" s="248"/>
      <c r="J34" s="248"/>
    </row>
    <row r="35" spans="1:10" x14ac:dyDescent="0.25">
      <c r="A35" s="239">
        <v>31</v>
      </c>
      <c r="B35" s="254" t="s">
        <v>31</v>
      </c>
      <c r="C35" s="241">
        <f>_xlfn.XLOOKUP(B35,[12]Sheet1!$E$5:$E$59,[12]Sheet1!$B$5:$B$59,"",0)</f>
        <v>287433.81</v>
      </c>
      <c r="D35" s="241">
        <f>_xlfn.XLOOKUP(B35,[12]Sheet1!$E$5:$E$59,[12]Sheet1!$C$5:$C$59,"",0)</f>
        <v>65269.3</v>
      </c>
      <c r="E35" s="242">
        <f t="shared" si="0"/>
        <v>352703.11</v>
      </c>
      <c r="G35" s="246"/>
      <c r="H35" s="245"/>
      <c r="I35" s="248"/>
      <c r="J35" s="248"/>
    </row>
    <row r="36" spans="1:10" x14ac:dyDescent="0.25">
      <c r="A36" s="239">
        <v>32</v>
      </c>
      <c r="B36" s="254" t="s">
        <v>15</v>
      </c>
      <c r="C36" s="241">
        <f>_xlfn.XLOOKUP(B36,[12]Sheet1!$E$5:$E$59,[12]Sheet1!$B$5:$B$59,"",0)</f>
        <v>70633.88</v>
      </c>
      <c r="D36" s="241">
        <f>_xlfn.XLOOKUP(B36,[12]Sheet1!$E$5:$E$59,[12]Sheet1!$C$5:$C$59,"",0)</f>
        <v>61013.700000000004</v>
      </c>
      <c r="E36" s="242">
        <f t="shared" si="0"/>
        <v>131647.58000000002</v>
      </c>
      <c r="G36" s="246"/>
      <c r="H36" s="245"/>
      <c r="I36" s="248"/>
      <c r="J36" s="248"/>
    </row>
    <row r="37" spans="1:10" x14ac:dyDescent="0.25">
      <c r="A37" s="239">
        <v>33</v>
      </c>
      <c r="B37" s="254" t="s">
        <v>56</v>
      </c>
      <c r="C37" s="241">
        <f>_xlfn.XLOOKUP(B37,[12]Sheet1!$E$5:$E$59,[12]Sheet1!$B$5:$B$59,"",0)</f>
        <v>1635589.0000000002</v>
      </c>
      <c r="D37" s="241">
        <f>_xlfn.XLOOKUP(B37,[12]Sheet1!$E$5:$E$59,[12]Sheet1!$C$5:$C$59,"",0)</f>
        <v>773482.18</v>
      </c>
      <c r="E37" s="242">
        <f t="shared" si="0"/>
        <v>2409071.1800000002</v>
      </c>
      <c r="G37" s="246"/>
      <c r="H37" s="245"/>
      <c r="I37" s="248"/>
      <c r="J37" s="248"/>
    </row>
    <row r="38" spans="1:10" x14ac:dyDescent="0.25">
      <c r="A38" s="239">
        <v>34</v>
      </c>
      <c r="B38" s="254" t="s">
        <v>57</v>
      </c>
      <c r="C38" s="241">
        <f>_xlfn.XLOOKUP(B38,[12]Sheet1!$E$5:$E$59,[12]Sheet1!$B$5:$B$59,"",0)</f>
        <v>1893662.6300000001</v>
      </c>
      <c r="D38" s="241">
        <f>_xlfn.XLOOKUP(B38,[12]Sheet1!$E$5:$E$59,[12]Sheet1!$C$5:$C$59,"",0)</f>
        <v>550713</v>
      </c>
      <c r="E38" s="242">
        <f t="shared" si="0"/>
        <v>2444375.63</v>
      </c>
      <c r="G38" s="246"/>
      <c r="H38" s="245"/>
      <c r="I38" s="248"/>
      <c r="J38" s="248"/>
    </row>
    <row r="39" spans="1:10" x14ac:dyDescent="0.25">
      <c r="A39" s="239">
        <v>35</v>
      </c>
      <c r="B39" s="254" t="s">
        <v>16</v>
      </c>
      <c r="C39" s="241">
        <f>_xlfn.XLOOKUP(B39,[12]Sheet1!$E$5:$E$59,[12]Sheet1!$B$5:$B$59,"",0)</f>
        <v>104771.72</v>
      </c>
      <c r="D39" s="241">
        <f>_xlfn.XLOOKUP(B39,[12]Sheet1!$E$5:$E$59,[12]Sheet1!$C$5:$C$59,"",0)</f>
        <v>83613</v>
      </c>
      <c r="E39" s="242">
        <f t="shared" si="0"/>
        <v>188384.72</v>
      </c>
      <c r="G39" s="246"/>
      <c r="H39" s="245"/>
      <c r="I39" s="248"/>
      <c r="J39" s="248"/>
    </row>
    <row r="40" spans="1:10" x14ac:dyDescent="0.25">
      <c r="A40" s="239">
        <v>36</v>
      </c>
      <c r="B40" s="254" t="s">
        <v>58</v>
      </c>
      <c r="C40" s="241">
        <f>_xlfn.XLOOKUP(B40,[12]Sheet1!$E$5:$E$59,[12]Sheet1!$B$5:$B$59,"",0)</f>
        <v>3640344.1100000003</v>
      </c>
      <c r="D40" s="241">
        <f>_xlfn.XLOOKUP(B40,[12]Sheet1!$E$5:$E$59,[12]Sheet1!$C$5:$C$59,"",0)</f>
        <v>741556.96</v>
      </c>
      <c r="E40" s="242">
        <f t="shared" si="0"/>
        <v>4381901.07</v>
      </c>
      <c r="G40" s="246"/>
      <c r="H40" s="245"/>
      <c r="I40" s="248"/>
      <c r="J40" s="248"/>
    </row>
    <row r="41" spans="1:10" x14ac:dyDescent="0.25">
      <c r="A41" s="239">
        <v>37</v>
      </c>
      <c r="B41" s="254" t="s">
        <v>59</v>
      </c>
      <c r="C41" s="241">
        <f>_xlfn.XLOOKUP(B41,[12]Sheet1!$E$5:$E$59,[12]Sheet1!$B$5:$B$59,"",0)</f>
        <v>2769776</v>
      </c>
      <c r="D41" s="241">
        <f>_xlfn.XLOOKUP(B41,[12]Sheet1!$E$5:$E$59,[12]Sheet1!$C$5:$C$59,"",0)</f>
        <v>999209.99999999988</v>
      </c>
      <c r="E41" s="242">
        <f t="shared" si="0"/>
        <v>3768986</v>
      </c>
      <c r="G41" s="246"/>
      <c r="H41" s="245"/>
      <c r="I41" s="248"/>
      <c r="J41" s="248"/>
    </row>
    <row r="42" spans="1:10" x14ac:dyDescent="0.25">
      <c r="A42" s="239">
        <v>38</v>
      </c>
      <c r="B42" s="254" t="s">
        <v>60</v>
      </c>
      <c r="C42" s="241">
        <f>_xlfn.XLOOKUP(B42,[12]Sheet1!$E$5:$E$59,[12]Sheet1!$B$5:$B$59,"",0)</f>
        <v>877368.92999999993</v>
      </c>
      <c r="D42" s="241">
        <f>_xlfn.XLOOKUP(B42,[12]Sheet1!$E$5:$E$59,[12]Sheet1!$C$5:$C$59,"",0)</f>
        <v>229514.20999999996</v>
      </c>
      <c r="E42" s="242">
        <f t="shared" si="0"/>
        <v>1106883.1399999999</v>
      </c>
      <c r="G42" s="246"/>
      <c r="H42" s="245"/>
      <c r="I42" s="248"/>
      <c r="J42" s="248"/>
    </row>
    <row r="43" spans="1:10" x14ac:dyDescent="0.25">
      <c r="A43" s="239">
        <v>39</v>
      </c>
      <c r="B43" s="254" t="s">
        <v>45</v>
      </c>
      <c r="C43" s="241">
        <f>_xlfn.XLOOKUP(B43,[12]Sheet1!$E$5:$E$59,[12]Sheet1!$B$5:$B$59,"",0)</f>
        <v>746480.83000000007</v>
      </c>
      <c r="D43" s="241">
        <f>_xlfn.XLOOKUP(B43,[12]Sheet1!$E$5:$E$59,[12]Sheet1!$C$5:$C$59,"",0)</f>
        <v>265059.48</v>
      </c>
      <c r="E43" s="242">
        <f t="shared" si="0"/>
        <v>1011540.31</v>
      </c>
      <c r="G43" s="246"/>
      <c r="H43" s="245"/>
      <c r="I43" s="248"/>
      <c r="J43" s="248"/>
    </row>
    <row r="44" spans="1:10" x14ac:dyDescent="0.25">
      <c r="A44" s="239">
        <v>40</v>
      </c>
      <c r="B44" s="254" t="s">
        <v>32</v>
      </c>
      <c r="C44" s="241">
        <f>_xlfn.XLOOKUP(B44,[12]Sheet1!$E$5:$E$59,[12]Sheet1!$B$5:$B$59,"",0)</f>
        <v>150347.75</v>
      </c>
      <c r="D44" s="241">
        <f>_xlfn.XLOOKUP(B44,[12]Sheet1!$E$5:$E$59,[12]Sheet1!$C$5:$C$59,"",0)</f>
        <v>87777.75</v>
      </c>
      <c r="E44" s="242">
        <f t="shared" si="0"/>
        <v>238125.5</v>
      </c>
      <c r="G44" s="246"/>
      <c r="H44" s="245"/>
      <c r="I44" s="248"/>
      <c r="J44" s="248"/>
    </row>
    <row r="45" spans="1:10" x14ac:dyDescent="0.25">
      <c r="A45" s="239">
        <v>41</v>
      </c>
      <c r="B45" s="254" t="s">
        <v>46</v>
      </c>
      <c r="C45" s="241">
        <f>_xlfn.XLOOKUP(B45,[12]Sheet1!$E$5:$E$59,[12]Sheet1!$B$5:$B$59,"",0)</f>
        <v>401369.64</v>
      </c>
      <c r="D45" s="241">
        <f>_xlfn.XLOOKUP(B45,[12]Sheet1!$E$5:$E$59,[12]Sheet1!$C$5:$C$59,"",0)</f>
        <v>255296.57</v>
      </c>
      <c r="E45" s="242">
        <f t="shared" si="0"/>
        <v>656666.21</v>
      </c>
      <c r="G45" s="246"/>
      <c r="H45" s="245"/>
      <c r="I45" s="248"/>
      <c r="J45" s="248"/>
    </row>
    <row r="46" spans="1:10" x14ac:dyDescent="0.25">
      <c r="A46" s="239">
        <v>42</v>
      </c>
      <c r="B46" s="254" t="s">
        <v>47</v>
      </c>
      <c r="C46" s="241">
        <f>_xlfn.XLOOKUP(B46,[12]Sheet1!$E$5:$E$59,[12]Sheet1!$B$5:$B$59,"",0)</f>
        <v>617163.49</v>
      </c>
      <c r="D46" s="241">
        <f>_xlfn.XLOOKUP(B46,[12]Sheet1!$E$5:$E$59,[12]Sheet1!$C$5:$C$59,"",0)</f>
        <v>156009.05000000002</v>
      </c>
      <c r="E46" s="242">
        <f t="shared" si="0"/>
        <v>773172.54</v>
      </c>
      <c r="G46" s="246"/>
      <c r="H46" s="245"/>
      <c r="I46" s="248"/>
      <c r="J46" s="248"/>
    </row>
    <row r="47" spans="1:10" x14ac:dyDescent="0.25">
      <c r="A47" s="239">
        <v>43</v>
      </c>
      <c r="B47" s="254" t="s">
        <v>61</v>
      </c>
      <c r="C47" s="241">
        <f>_xlfn.XLOOKUP(B47,[12]Sheet1!$E$5:$E$59,[12]Sheet1!$B$5:$B$59,"",0)</f>
        <v>1362721.2400000002</v>
      </c>
      <c r="D47" s="241">
        <f>_xlfn.XLOOKUP(B47,[12]Sheet1!$E$5:$E$59,[12]Sheet1!$C$5:$C$59,"",0)</f>
        <v>553162.01</v>
      </c>
      <c r="E47" s="242">
        <f t="shared" si="0"/>
        <v>1915883.2500000002</v>
      </c>
      <c r="G47" s="246"/>
      <c r="H47" s="245"/>
      <c r="I47" s="248"/>
      <c r="J47" s="248"/>
    </row>
    <row r="48" spans="1:10" x14ac:dyDescent="0.25">
      <c r="A48" s="239">
        <v>44</v>
      </c>
      <c r="B48" s="254" t="s">
        <v>33</v>
      </c>
      <c r="C48" s="241">
        <f>_xlfn.XLOOKUP(B48,[12]Sheet1!$E$5:$E$59,[12]Sheet1!$B$5:$B$59,"",0)</f>
        <v>224057</v>
      </c>
      <c r="D48" s="241">
        <f>_xlfn.XLOOKUP(B48,[12]Sheet1!$E$5:$E$59,[12]Sheet1!$C$5:$C$59,"",0)</f>
        <v>127483.30000000002</v>
      </c>
      <c r="E48" s="242">
        <f t="shared" si="0"/>
        <v>351540.30000000005</v>
      </c>
      <c r="G48" s="246"/>
      <c r="H48" s="245"/>
      <c r="I48" s="248"/>
      <c r="J48" s="248"/>
    </row>
    <row r="49" spans="1:10" x14ac:dyDescent="0.25">
      <c r="A49" s="239">
        <v>45</v>
      </c>
      <c r="B49" s="254" t="s">
        <v>34</v>
      </c>
      <c r="C49" s="241">
        <f>_xlfn.XLOOKUP(B49,[12]Sheet1!$E$5:$E$59,[12]Sheet1!$B$5:$B$59,"",0)</f>
        <v>423578.25</v>
      </c>
      <c r="D49" s="241">
        <f>_xlfn.XLOOKUP(B49,[12]Sheet1!$E$5:$E$59,[12]Sheet1!$C$5:$C$59,"",0)</f>
        <v>202230.13000000003</v>
      </c>
      <c r="E49" s="242">
        <f t="shared" si="0"/>
        <v>625808.38</v>
      </c>
      <c r="G49" s="246"/>
      <c r="H49" s="245"/>
      <c r="I49" s="248"/>
      <c r="J49" s="248"/>
    </row>
    <row r="50" spans="1:10" x14ac:dyDescent="0.25">
      <c r="A50" s="239">
        <v>46</v>
      </c>
      <c r="B50" s="254" t="s">
        <v>17</v>
      </c>
      <c r="C50" s="241" t="str">
        <f>_xlfn.XLOOKUP(B50,[12]Sheet1!$E$5:$E$59,[12]Sheet1!$B$5:$B$59,"",0)</f>
        <v/>
      </c>
      <c r="D50" s="241" t="str">
        <f>_xlfn.XLOOKUP(B50,[12]Sheet1!$E$5:$E$59,[12]Sheet1!$C$5:$C$59,"",0)</f>
        <v/>
      </c>
      <c r="E50" s="242"/>
      <c r="G50" s="245"/>
      <c r="H50" s="245"/>
    </row>
    <row r="51" spans="1:10" x14ac:dyDescent="0.25">
      <c r="A51" s="239">
        <v>47</v>
      </c>
      <c r="B51" s="254" t="s">
        <v>35</v>
      </c>
      <c r="C51" s="241">
        <f>_xlfn.XLOOKUP(B51,[12]Sheet1!$E$5:$E$59,[12]Sheet1!$B$5:$B$59,"",0)</f>
        <v>58710.109999999993</v>
      </c>
      <c r="D51" s="241">
        <f>_xlfn.XLOOKUP(B51,[12]Sheet1!$E$5:$E$59,[12]Sheet1!$C$5:$C$59,"",0)</f>
        <v>95795.87</v>
      </c>
      <c r="E51" s="242">
        <f t="shared" si="0"/>
        <v>154505.97999999998</v>
      </c>
      <c r="G51" s="245"/>
      <c r="H51" s="245"/>
      <c r="I51" s="248"/>
      <c r="J51" s="248"/>
    </row>
    <row r="52" spans="1:10" x14ac:dyDescent="0.25">
      <c r="A52" s="239">
        <v>48</v>
      </c>
      <c r="B52" s="254" t="s">
        <v>48</v>
      </c>
      <c r="C52" s="241">
        <f>_xlfn.XLOOKUP(B52,[12]Sheet1!$E$5:$E$59,[12]Sheet1!$B$5:$B$59,"",0)</f>
        <v>581759.74</v>
      </c>
      <c r="D52" s="241">
        <f>_xlfn.XLOOKUP(B52,[12]Sheet1!$E$5:$E$59,[12]Sheet1!$C$5:$C$59,"",0)</f>
        <v>168045</v>
      </c>
      <c r="E52" s="242">
        <f t="shared" si="0"/>
        <v>749804.74</v>
      </c>
      <c r="G52" s="245"/>
      <c r="H52" s="245"/>
      <c r="I52" s="248"/>
      <c r="J52" s="248"/>
    </row>
    <row r="53" spans="1:10" x14ac:dyDescent="0.25">
      <c r="A53" s="239">
        <v>49</v>
      </c>
      <c r="B53" s="254" t="s">
        <v>49</v>
      </c>
      <c r="C53" s="241">
        <f>_xlfn.XLOOKUP(B53,[12]Sheet1!$E$5:$E$59,[12]Sheet1!$B$5:$B$59,"",0)</f>
        <v>164231.03999999998</v>
      </c>
      <c r="D53" s="241">
        <f>_xlfn.XLOOKUP(B53,[12]Sheet1!$E$5:$E$59,[12]Sheet1!$C$5:$C$59,"",0)</f>
        <v>121098.29999999997</v>
      </c>
      <c r="E53" s="242">
        <f t="shared" si="0"/>
        <v>285329.33999999997</v>
      </c>
      <c r="G53" s="245"/>
      <c r="H53" s="245"/>
      <c r="I53" s="248"/>
      <c r="J53" s="248"/>
    </row>
    <row r="54" spans="1:10" x14ac:dyDescent="0.25">
      <c r="A54" s="239">
        <v>50</v>
      </c>
      <c r="B54" s="254" t="s">
        <v>50</v>
      </c>
      <c r="C54" s="241">
        <f>_xlfn.XLOOKUP(B54,[12]Sheet1!$E$5:$E$59,[12]Sheet1!$B$5:$B$59,"",0)</f>
        <v>935648.34</v>
      </c>
      <c r="D54" s="241">
        <f>_xlfn.XLOOKUP(B54,[12]Sheet1!$E$5:$E$59,[12]Sheet1!$C$5:$C$59,"",0)</f>
        <v>293225.74000000005</v>
      </c>
      <c r="E54" s="242">
        <f t="shared" si="0"/>
        <v>1228874.08</v>
      </c>
      <c r="G54" s="245"/>
      <c r="H54" s="245"/>
      <c r="I54" s="248"/>
      <c r="J54" s="248"/>
    </row>
    <row r="55" spans="1:10" x14ac:dyDescent="0.25">
      <c r="A55" s="239">
        <v>51</v>
      </c>
      <c r="B55" s="254" t="s">
        <v>36</v>
      </c>
      <c r="C55" s="241">
        <f>_xlfn.XLOOKUP(B55,[12]Sheet1!$E$5:$E$59,[12]Sheet1!$B$5:$B$59,"",0)</f>
        <v>179253.47999999998</v>
      </c>
      <c r="D55" s="241">
        <f>_xlfn.XLOOKUP(B55,[12]Sheet1!$E$5:$E$59,[12]Sheet1!$C$5:$C$59,"",0)</f>
        <v>84313.999999999985</v>
      </c>
      <c r="E55" s="242">
        <f t="shared" si="0"/>
        <v>263567.48</v>
      </c>
      <c r="G55" s="245"/>
      <c r="H55" s="245"/>
      <c r="I55" s="248"/>
      <c r="J55" s="248"/>
    </row>
    <row r="56" spans="1:10" x14ac:dyDescent="0.25">
      <c r="A56" s="239">
        <v>52</v>
      </c>
      <c r="B56" s="254" t="s">
        <v>37</v>
      </c>
      <c r="C56" s="241">
        <f>_xlfn.XLOOKUP(B56,[12]Sheet1!$E$5:$E$59,[12]Sheet1!$B$5:$B$59,"",0)</f>
        <v>134835.21000000002</v>
      </c>
      <c r="D56" s="241">
        <f>_xlfn.XLOOKUP(B56,[12]Sheet1!$E$5:$E$59,[12]Sheet1!$C$5:$C$59,"",0)</f>
        <v>15178.4</v>
      </c>
      <c r="E56" s="242">
        <f t="shared" si="0"/>
        <v>150013.61000000002</v>
      </c>
      <c r="G56" s="245"/>
      <c r="H56" s="245"/>
      <c r="I56" s="248"/>
      <c r="J56" s="248"/>
    </row>
    <row r="57" spans="1:10" x14ac:dyDescent="0.25">
      <c r="A57" s="239">
        <v>53</v>
      </c>
      <c r="B57" s="254" t="s">
        <v>18</v>
      </c>
      <c r="C57" s="241" t="str">
        <f>_xlfn.XLOOKUP(B57,[12]Sheet1!$E$5:$E$59,[12]Sheet1!$B$5:$B$59,"",0)</f>
        <v/>
      </c>
      <c r="D57" s="241" t="str">
        <f>_xlfn.XLOOKUP(B57,[12]Sheet1!$E$5:$E$59,[12]Sheet1!$C$5:$C$59,"",0)</f>
        <v/>
      </c>
      <c r="E57" s="242"/>
      <c r="G57" s="245"/>
      <c r="H57" s="245"/>
    </row>
    <row r="58" spans="1:10" x14ac:dyDescent="0.25">
      <c r="A58" s="239">
        <v>54</v>
      </c>
      <c r="B58" s="254" t="s">
        <v>51</v>
      </c>
      <c r="C58" s="241">
        <f>_xlfn.XLOOKUP(B58,[12]Sheet1!$E$5:$E$59,[12]Sheet1!$B$5:$B$59,"",0)</f>
        <v>557810.92999999993</v>
      </c>
      <c r="D58" s="241">
        <f>_xlfn.XLOOKUP(B58,[12]Sheet1!$E$5:$E$59,[12]Sheet1!$C$5:$C$59,"",0)</f>
        <v>388818.98</v>
      </c>
      <c r="E58" s="242">
        <f t="shared" si="0"/>
        <v>946629.90999999992</v>
      </c>
      <c r="G58" s="245"/>
      <c r="H58" s="245"/>
      <c r="I58" s="248"/>
      <c r="J58" s="248"/>
    </row>
    <row r="59" spans="1:10" x14ac:dyDescent="0.25">
      <c r="A59" s="239">
        <v>55</v>
      </c>
      <c r="B59" s="254" t="s">
        <v>38</v>
      </c>
      <c r="C59" s="241">
        <f>_xlfn.XLOOKUP(B59,[12]Sheet1!$E$5:$E$59,[12]Sheet1!$B$5:$B$59,"",0)</f>
        <v>201874.34999999998</v>
      </c>
      <c r="D59" s="241">
        <f>_xlfn.XLOOKUP(B59,[12]Sheet1!$E$5:$E$59,[12]Sheet1!$C$5:$C$59,"",0)</f>
        <v>78387.02</v>
      </c>
      <c r="E59" s="242">
        <f t="shared" si="0"/>
        <v>280261.37</v>
      </c>
      <c r="G59" s="245"/>
      <c r="H59" s="245"/>
      <c r="I59" s="248"/>
      <c r="J59" s="248"/>
    </row>
    <row r="60" spans="1:10" x14ac:dyDescent="0.25">
      <c r="A60" s="239">
        <v>56</v>
      </c>
      <c r="B60" s="254" t="s">
        <v>52</v>
      </c>
      <c r="C60" s="241">
        <f>_xlfn.XLOOKUP(B60,[12]Sheet1!$E$5:$E$59,[12]Sheet1!$B$5:$B$59,"",0)</f>
        <v>280448.48</v>
      </c>
      <c r="D60" s="241">
        <f>_xlfn.XLOOKUP(B60,[12]Sheet1!$E$5:$E$59,[12]Sheet1!$C$5:$C$59,"",0)</f>
        <v>315065.59999999998</v>
      </c>
      <c r="E60" s="242">
        <f t="shared" si="0"/>
        <v>595514.07999999996</v>
      </c>
      <c r="G60" s="245"/>
      <c r="H60" s="245"/>
      <c r="I60" s="248"/>
      <c r="J60" s="248"/>
    </row>
    <row r="61" spans="1:10" x14ac:dyDescent="0.25">
      <c r="A61" s="239">
        <v>57</v>
      </c>
      <c r="B61" s="254" t="s">
        <v>39</v>
      </c>
      <c r="C61" s="241">
        <f>_xlfn.XLOOKUP(B61,[12]Sheet1!$E$5:$E$59,[12]Sheet1!$B$5:$B$59,"",0)</f>
        <v>150001.34000000003</v>
      </c>
      <c r="D61" s="241">
        <f>_xlfn.XLOOKUP(B61,[12]Sheet1!$E$5:$E$59,[12]Sheet1!$C$5:$C$59,"",0)</f>
        <v>116591.00000000001</v>
      </c>
      <c r="E61" s="242">
        <f t="shared" si="0"/>
        <v>266592.34000000003</v>
      </c>
      <c r="G61" s="245"/>
      <c r="H61" s="245"/>
      <c r="I61" s="248"/>
      <c r="J61" s="248"/>
    </row>
    <row r="62" spans="1:10" x14ac:dyDescent="0.25">
      <c r="A62" s="239">
        <v>58</v>
      </c>
      <c r="B62" s="254" t="s">
        <v>40</v>
      </c>
      <c r="C62" s="241">
        <f>_xlfn.XLOOKUP(B62,[12]Sheet1!$E$5:$E$59,[12]Sheet1!$B$5:$B$59,"",0)</f>
        <v>180007.19</v>
      </c>
      <c r="D62" s="241">
        <f>_xlfn.XLOOKUP(B62,[12]Sheet1!$E$5:$E$59,[12]Sheet1!$C$5:$C$59,"",0)</f>
        <v>68250.469999999987</v>
      </c>
      <c r="E62" s="242">
        <f t="shared" si="0"/>
        <v>248257.65999999997</v>
      </c>
      <c r="G62" s="245"/>
      <c r="H62" s="245"/>
      <c r="I62" s="248"/>
      <c r="J62" s="248"/>
    </row>
    <row r="63" spans="1:10" ht="15.75" thickBot="1" x14ac:dyDescent="0.3">
      <c r="B63" s="3" t="s">
        <v>215</v>
      </c>
      <c r="C63" s="243">
        <f>SUM(C5:C62)</f>
        <v>38220994.339999996</v>
      </c>
      <c r="D63" s="243">
        <f>SUM(D5:D62)</f>
        <v>14174064.540000005</v>
      </c>
      <c r="E63" s="243">
        <f>SUM(E5:E62)</f>
        <v>52395058.879999988</v>
      </c>
    </row>
    <row r="64" spans="1:10" ht="15.75" thickTop="1" x14ac:dyDescent="0.25"/>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pageSetUpPr fitToPage="1"/>
  </sheetPr>
  <dimension ref="A1:V73"/>
  <sheetViews>
    <sheetView zoomScaleNormal="100" workbookViewId="0">
      <pane xSplit="2" ySplit="6" topLeftCell="C7" activePane="bottomRight" state="frozen"/>
      <selection pane="topRight" activeCell="C1" sqref="C1"/>
      <selection pane="bottomLeft" activeCell="A7" sqref="A7"/>
      <selection pane="bottomRight" activeCell="F7" sqref="F7"/>
    </sheetView>
  </sheetViews>
  <sheetFormatPr defaultColWidth="9.42578125" defaultRowHeight="15" x14ac:dyDescent="0.25"/>
  <cols>
    <col min="1" max="1" width="8.42578125" style="53" customWidth="1"/>
    <col min="2" max="2" width="13.5703125" style="53" bestFit="1" customWidth="1"/>
    <col min="3" max="3" width="1.5703125" style="53" customWidth="1"/>
    <col min="4" max="4" width="14.42578125" style="53" bestFit="1" customWidth="1"/>
    <col min="5" max="5" width="10" style="57" bestFit="1" customWidth="1"/>
    <col min="6" max="6" width="14.5703125" style="160" bestFit="1" customWidth="1"/>
    <col min="7" max="7" width="1.5703125" style="53" customWidth="1"/>
    <col min="8" max="8" width="12.42578125" style="160" bestFit="1" customWidth="1"/>
    <col min="9" max="9" width="9.42578125" style="160" customWidth="1"/>
    <col min="10" max="11" width="12.5703125" style="53" bestFit="1" customWidth="1"/>
    <col min="12" max="12" width="1.5703125" style="53" customWidth="1"/>
    <col min="13" max="13" width="13" style="160" customWidth="1"/>
    <col min="14" max="15" width="10.5703125" style="53" hidden="1" customWidth="1"/>
    <col min="16" max="16" width="12.5703125" style="53" hidden="1" customWidth="1"/>
    <col min="17" max="17" width="14" style="53" hidden="1" customWidth="1"/>
    <col min="18" max="18" width="9" style="53" hidden="1" customWidth="1"/>
    <col min="19" max="19" width="12.42578125" style="53" hidden="1" customWidth="1"/>
    <col min="20" max="20" width="13.42578125" style="53" hidden="1" customWidth="1"/>
    <col min="21" max="16384" width="9.42578125" style="53"/>
  </cols>
  <sheetData>
    <row r="1" spans="1:20" ht="23.85" customHeight="1" x14ac:dyDescent="0.25">
      <c r="A1" s="153" t="s">
        <v>189</v>
      </c>
      <c r="C1" s="51"/>
      <c r="G1" s="51"/>
      <c r="L1" s="51"/>
    </row>
    <row r="2" spans="1:20" ht="16.5" customHeight="1" x14ac:dyDescent="0.25">
      <c r="A2" s="162" t="s">
        <v>207</v>
      </c>
      <c r="C2" s="51"/>
      <c r="G2" s="51"/>
      <c r="L2" s="51"/>
    </row>
    <row r="3" spans="1:20" ht="16.5" customHeight="1" x14ac:dyDescent="0.25">
      <c r="C3" s="51"/>
      <c r="G3" s="51"/>
      <c r="L3" s="51"/>
    </row>
    <row r="4" spans="1:20" ht="16.5" customHeight="1" x14ac:dyDescent="0.25">
      <c r="A4" s="309"/>
      <c r="B4" s="309"/>
      <c r="C4" s="81"/>
      <c r="D4" s="309"/>
      <c r="E4" s="309"/>
      <c r="G4" s="81"/>
      <c r="H4" s="284" t="s">
        <v>96</v>
      </c>
      <c r="I4" s="285"/>
      <c r="J4" s="285"/>
      <c r="K4" s="285"/>
      <c r="L4" s="81"/>
      <c r="N4" s="313"/>
      <c r="O4" s="313"/>
      <c r="P4" s="313"/>
      <c r="Q4" s="313"/>
      <c r="R4" s="313"/>
      <c r="S4" s="313"/>
      <c r="T4" s="165"/>
    </row>
    <row r="5" spans="1:20" ht="67.349999999999994" customHeight="1" x14ac:dyDescent="0.25">
      <c r="A5" s="310" t="s">
        <v>68</v>
      </c>
      <c r="B5" s="311" t="s">
        <v>63</v>
      </c>
      <c r="C5" s="81"/>
      <c r="D5" s="9" t="s">
        <v>187</v>
      </c>
      <c r="E5" s="10" t="s">
        <v>97</v>
      </c>
      <c r="F5" s="10" t="s">
        <v>190</v>
      </c>
      <c r="G5" s="81"/>
      <c r="H5" s="74" t="s">
        <v>75</v>
      </c>
      <c r="I5" s="74" t="s">
        <v>191</v>
      </c>
      <c r="J5" s="74" t="s">
        <v>195</v>
      </c>
      <c r="K5" s="74" t="s">
        <v>192</v>
      </c>
      <c r="L5" s="81"/>
      <c r="M5" s="73" t="s">
        <v>194</v>
      </c>
      <c r="N5" s="164" t="s">
        <v>78</v>
      </c>
      <c r="O5" s="164" t="s">
        <v>79</v>
      </c>
      <c r="P5" s="166" t="s">
        <v>111</v>
      </c>
      <c r="Q5" s="166" t="s">
        <v>94</v>
      </c>
      <c r="R5" s="166" t="s">
        <v>82</v>
      </c>
      <c r="S5" s="164" t="s">
        <v>95</v>
      </c>
      <c r="T5" s="164" t="s">
        <v>99</v>
      </c>
    </row>
    <row r="6" spans="1:20" x14ac:dyDescent="0.25">
      <c r="A6" s="310"/>
      <c r="B6" s="311"/>
      <c r="C6" s="81"/>
      <c r="D6" s="78" t="s">
        <v>65</v>
      </c>
      <c r="E6" s="78" t="s">
        <v>1</v>
      </c>
      <c r="F6" s="78" t="s">
        <v>66</v>
      </c>
      <c r="G6" s="81"/>
      <c r="H6" s="78" t="s">
        <v>2</v>
      </c>
      <c r="I6" s="78" t="s">
        <v>3</v>
      </c>
      <c r="J6" s="78" t="s">
        <v>83</v>
      </c>
      <c r="K6" s="78" t="s">
        <v>114</v>
      </c>
      <c r="L6" s="81"/>
      <c r="M6" s="78" t="s">
        <v>84</v>
      </c>
      <c r="N6" s="164"/>
      <c r="O6" s="164"/>
      <c r="P6" s="166"/>
      <c r="Q6" s="166"/>
      <c r="R6" s="166"/>
      <c r="S6" s="164"/>
      <c r="T6" s="164"/>
    </row>
    <row r="7" spans="1:20" ht="16.5" customHeight="1" x14ac:dyDescent="0.25">
      <c r="A7" s="65">
        <v>4</v>
      </c>
      <c r="B7" s="66" t="s">
        <v>53</v>
      </c>
      <c r="C7" s="82"/>
      <c r="D7" s="179">
        <f>VLOOKUP(B7,'WF Need'!$B$7:$AB$64,27, FALSE)</f>
        <v>104992973.84118871</v>
      </c>
      <c r="E7" s="92">
        <f>D7/$D$65</f>
        <v>3.5097572775659024E-2</v>
      </c>
      <c r="F7" s="237" t="e">
        <f>#REF!</f>
        <v>#REF!</v>
      </c>
      <c r="G7" s="82"/>
      <c r="H7" s="180" t="e">
        <f>IF(F7&lt;Floors!$E$4,Floors!$E$4, "-")</f>
        <v>#REF!</v>
      </c>
      <c r="I7" s="65" t="e">
        <f>IF(H7=800000,"Y","N")</f>
        <v>#REF!</v>
      </c>
      <c r="J7" s="177" t="e">
        <f>IF(I7="Y",VLOOKUP(B7,#REF!,2,FALSE)*1.1,"N/A ")</f>
        <v>#REF!</v>
      </c>
      <c r="K7" s="177" t="e">
        <f t="shared" ref="K7:K64" si="0">IF(I7="Y",F7, "N/A ")</f>
        <v>#REF!</v>
      </c>
      <c r="L7" s="82"/>
      <c r="M7" s="177" t="e">
        <f>IF(I7="Y",IF(H7=750000,750000,O7),"N/A")</f>
        <v>#REF!</v>
      </c>
      <c r="N7" s="167" t="e">
        <f t="shared" ref="N7:N64" si="1">IF(J7&lt;H7,J7,H7)</f>
        <v>#REF!</v>
      </c>
      <c r="O7" s="165" t="e">
        <f t="shared" ref="O7:O64" si="2">IF(K7&gt;N7,K7,N7)</f>
        <v>#REF!</v>
      </c>
      <c r="P7" s="167" t="e">
        <f>IF(M7="n/a",(IF(AND(H7=750000,(F7&gt;750000)), H7-F7, 0)),M7-F7)</f>
        <v>#REF!</v>
      </c>
      <c r="Q7" s="167" t="e">
        <f>IF(AND(P7=0,I7="N"),F7,0)</f>
        <v>#REF!</v>
      </c>
      <c r="R7" s="168" t="e">
        <f>Q7/$Q$65</f>
        <v>#REF!</v>
      </c>
      <c r="S7" s="167" t="e">
        <f>IF(P7=0,-R7*$P$65,0)</f>
        <v>#REF!</v>
      </c>
      <c r="T7" s="167" t="e">
        <f>IF(P7=0,-R7*$P$65,P7)</f>
        <v>#REF!</v>
      </c>
    </row>
    <row r="8" spans="1:20" ht="16.5" customHeight="1" x14ac:dyDescent="0.25">
      <c r="A8" s="65">
        <v>1</v>
      </c>
      <c r="B8" s="66" t="s">
        <v>4</v>
      </c>
      <c r="C8" s="81"/>
      <c r="D8" s="174">
        <f>VLOOKUP(B8,'WF Need'!$B$7:$AB$64,27, FALSE)</f>
        <v>603133.5720054378</v>
      </c>
      <c r="E8" s="92">
        <f t="shared" ref="E8:E64" si="3">D8/$D$65</f>
        <v>2.0161848609911103E-4</v>
      </c>
      <c r="F8" s="8" t="e">
        <f>#REF!</f>
        <v>#REF!</v>
      </c>
      <c r="G8" s="81"/>
      <c r="H8" s="180" t="e">
        <f>IF(F8&lt;Floors!$E$4,Floors!$E$4, "-")</f>
        <v>#REF!</v>
      </c>
      <c r="I8" s="65" t="e">
        <f t="shared" ref="I8:I64" si="4">IF(H8=800000,"Y","N")</f>
        <v>#REF!</v>
      </c>
      <c r="J8" s="177" t="e">
        <f>IF(I8="Y",VLOOKUP(B8,#REF!,2,FALSE)*1.1,"N/A ")</f>
        <v>#REF!</v>
      </c>
      <c r="K8" s="177" t="e">
        <f>IF(I8="Y",F8, "N/A ")</f>
        <v>#REF!</v>
      </c>
      <c r="L8" s="81"/>
      <c r="M8" s="177" t="e">
        <f t="shared" ref="M8:M64" si="5">IF(I8="Y",IF(H8=750000,750000,O8),"N/A")</f>
        <v>#REF!</v>
      </c>
      <c r="N8" s="167" t="e">
        <f>IF(J8&lt;H8,J8,H8)</f>
        <v>#REF!</v>
      </c>
      <c r="O8" s="165" t="e">
        <f>IF(K8&gt;N8,K8,N8)</f>
        <v>#REF!</v>
      </c>
      <c r="P8" s="167" t="e">
        <f>IF(M8="n/a",(IF(AND(H8=750000,(F8&gt;750000)), H8-F8, 0)),M8-F8)</f>
        <v>#REF!</v>
      </c>
      <c r="Q8" s="167" t="e">
        <f t="shared" ref="Q8:Q64" si="6">IF(AND(P8=0,I8="N"),F8,0)</f>
        <v>#REF!</v>
      </c>
      <c r="R8" s="168" t="e">
        <f>Q8/$Q$65</f>
        <v>#REF!</v>
      </c>
      <c r="S8" s="167" t="e">
        <f>IF(P8=0,-R8*$P$65,0)</f>
        <v>#REF!</v>
      </c>
      <c r="T8" s="167" t="e">
        <f>IF(P8=0,-R8*$P$65,P8)</f>
        <v>#REF!</v>
      </c>
    </row>
    <row r="9" spans="1:20" ht="16.5" customHeight="1" x14ac:dyDescent="0.25">
      <c r="A9" s="65">
        <v>1</v>
      </c>
      <c r="B9" s="66" t="s">
        <v>5</v>
      </c>
      <c r="D9" s="174">
        <f>VLOOKUP(B9,'WF Need'!$B$7:$AB$64,27, FALSE)</f>
        <v>5054636.8731091991</v>
      </c>
      <c r="E9" s="92">
        <f t="shared" si="3"/>
        <v>1.6896891193578475E-3</v>
      </c>
      <c r="F9" s="8" t="e">
        <f>#REF!</f>
        <v>#REF!</v>
      </c>
      <c r="H9" s="180" t="e">
        <f>IF(F9&lt;Floors!$E$4,Floors!$E$4, "-")</f>
        <v>#REF!</v>
      </c>
      <c r="I9" s="65" t="e">
        <f t="shared" si="4"/>
        <v>#REF!</v>
      </c>
      <c r="J9" s="177" t="e">
        <f>IF(I9="Y",VLOOKUP(B9,#REF!,2,FALSE)*1.1,"N/A ")</f>
        <v>#REF!</v>
      </c>
      <c r="K9" s="177" t="e">
        <f t="shared" si="0"/>
        <v>#REF!</v>
      </c>
      <c r="M9" s="177" t="e">
        <f t="shared" si="5"/>
        <v>#REF!</v>
      </c>
      <c r="N9" s="167" t="e">
        <f t="shared" si="1"/>
        <v>#REF!</v>
      </c>
      <c r="O9" s="165" t="e">
        <f t="shared" si="2"/>
        <v>#REF!</v>
      </c>
      <c r="P9" s="167" t="e">
        <f t="shared" ref="P9:P27" si="7">IF(M9="n/a",(IF(AND(H9=750000,(F9&gt;750000)), H9-F9, 0)),M9-F9)</f>
        <v>#REF!</v>
      </c>
      <c r="Q9" s="167" t="e">
        <f t="shared" si="6"/>
        <v>#REF!</v>
      </c>
      <c r="R9" s="168" t="e">
        <f t="shared" ref="R9:R64" si="8">Q9/$Q$65</f>
        <v>#REF!</v>
      </c>
      <c r="S9" s="167" t="e">
        <f t="shared" ref="S9:S64" si="9">IF(P9=0,-R9*$P$65,0)</f>
        <v>#REF!</v>
      </c>
      <c r="T9" s="167" t="e">
        <f t="shared" ref="T9:T64" si="10">IF(P9=0,-R9*$P$65,P9)</f>
        <v>#REF!</v>
      </c>
    </row>
    <row r="10" spans="1:20" ht="16.5" customHeight="1" x14ac:dyDescent="0.25">
      <c r="A10" s="65">
        <v>2</v>
      </c>
      <c r="B10" s="66" t="s">
        <v>19</v>
      </c>
      <c r="D10" s="174">
        <f>VLOOKUP(B10,'WF Need'!$B$7:$AB$64,27, FALSE)</f>
        <v>15789598.88327859</v>
      </c>
      <c r="E10" s="92">
        <f t="shared" si="3"/>
        <v>5.2782255386210558E-3</v>
      </c>
      <c r="F10" s="8" t="e">
        <f>#REF!</f>
        <v>#REF!</v>
      </c>
      <c r="H10" s="180" t="e">
        <f>IF(F10&lt;Floors!$E$4,Floors!$E$4, "-")</f>
        <v>#REF!</v>
      </c>
      <c r="I10" s="65" t="e">
        <f t="shared" si="4"/>
        <v>#REF!</v>
      </c>
      <c r="J10" s="177" t="e">
        <f>IF(I10="Y",VLOOKUP(B10,#REF!,2,FALSE)*1.1,"N/A ")</f>
        <v>#REF!</v>
      </c>
      <c r="K10" s="177" t="e">
        <f t="shared" si="0"/>
        <v>#REF!</v>
      </c>
      <c r="M10" s="177" t="e">
        <f t="shared" si="5"/>
        <v>#REF!</v>
      </c>
      <c r="N10" s="167" t="e">
        <f t="shared" si="1"/>
        <v>#REF!</v>
      </c>
      <c r="O10" s="165" t="e">
        <f t="shared" si="2"/>
        <v>#REF!</v>
      </c>
      <c r="P10" s="167" t="e">
        <f t="shared" si="7"/>
        <v>#REF!</v>
      </c>
      <c r="Q10" s="167" t="e">
        <f t="shared" si="6"/>
        <v>#REF!</v>
      </c>
      <c r="R10" s="168" t="e">
        <f t="shared" si="8"/>
        <v>#REF!</v>
      </c>
      <c r="S10" s="167" t="e">
        <f t="shared" si="9"/>
        <v>#REF!</v>
      </c>
      <c r="T10" s="167" t="e">
        <f t="shared" si="10"/>
        <v>#REF!</v>
      </c>
    </row>
    <row r="11" spans="1:20" ht="16.5" customHeight="1" x14ac:dyDescent="0.25">
      <c r="A11" s="65">
        <v>1</v>
      </c>
      <c r="B11" s="66" t="s">
        <v>6</v>
      </c>
      <c r="D11" s="174">
        <f>VLOOKUP(B11,'WF Need'!$B$7:$AB$64,27, FALSE)</f>
        <v>3606401.7921899296</v>
      </c>
      <c r="E11" s="92">
        <f t="shared" si="3"/>
        <v>1.205565903401409E-3</v>
      </c>
      <c r="F11" s="8" t="e">
        <f>#REF!</f>
        <v>#REF!</v>
      </c>
      <c r="H11" s="180" t="e">
        <f>IF(F11&lt;Floors!$E$4,Floors!$E$4, "-")</f>
        <v>#REF!</v>
      </c>
      <c r="I11" s="65" t="e">
        <f t="shared" si="4"/>
        <v>#REF!</v>
      </c>
      <c r="J11" s="177" t="e">
        <f>IF(I11="Y",VLOOKUP(B11,#REF!,2,FALSE)*1.1,"N/A ")</f>
        <v>#REF!</v>
      </c>
      <c r="K11" s="177" t="e">
        <f t="shared" si="0"/>
        <v>#REF!</v>
      </c>
      <c r="M11" s="177" t="e">
        <f t="shared" si="5"/>
        <v>#REF!</v>
      </c>
      <c r="N11" s="167" t="e">
        <f t="shared" si="1"/>
        <v>#REF!</v>
      </c>
      <c r="O11" s="165" t="e">
        <f t="shared" si="2"/>
        <v>#REF!</v>
      </c>
      <c r="P11" s="167" t="e">
        <f t="shared" si="7"/>
        <v>#REF!</v>
      </c>
      <c r="Q11" s="167" t="e">
        <f t="shared" si="6"/>
        <v>#REF!</v>
      </c>
      <c r="R11" s="168" t="e">
        <f t="shared" si="8"/>
        <v>#REF!</v>
      </c>
      <c r="S11" s="167" t="e">
        <f t="shared" si="9"/>
        <v>#REF!</v>
      </c>
      <c r="T11" s="167" t="e">
        <f t="shared" si="10"/>
        <v>#REF!</v>
      </c>
    </row>
    <row r="12" spans="1:20" ht="16.5" customHeight="1" x14ac:dyDescent="0.25">
      <c r="A12" s="65">
        <v>1</v>
      </c>
      <c r="B12" s="66" t="s">
        <v>7</v>
      </c>
      <c r="C12" s="83"/>
      <c r="D12" s="174">
        <f>VLOOKUP(B12,'WF Need'!$B$7:$AB$64,27, FALSE)</f>
        <v>2856438.366944314</v>
      </c>
      <c r="E12" s="92">
        <f t="shared" si="3"/>
        <v>9.5486440468536414E-4</v>
      </c>
      <c r="F12" s="8" t="e">
        <f>#REF!</f>
        <v>#REF!</v>
      </c>
      <c r="G12" s="83"/>
      <c r="H12" s="180" t="e">
        <f>IF(F12&lt;Floors!$E$4,Floors!$E$4, "-")</f>
        <v>#REF!</v>
      </c>
      <c r="I12" s="65" t="e">
        <f t="shared" si="4"/>
        <v>#REF!</v>
      </c>
      <c r="J12" s="177" t="e">
        <f>IF(I12="Y",VLOOKUP(B12,#REF!,2,FALSE)*1.1,"N/A ")</f>
        <v>#REF!</v>
      </c>
      <c r="K12" s="177" t="e">
        <f t="shared" si="0"/>
        <v>#REF!</v>
      </c>
      <c r="L12" s="83"/>
      <c r="M12" s="177" t="e">
        <f t="shared" si="5"/>
        <v>#REF!</v>
      </c>
      <c r="N12" s="167" t="e">
        <f t="shared" si="1"/>
        <v>#REF!</v>
      </c>
      <c r="O12" s="165" t="e">
        <f>IF(K12&gt;N12,K12,N12)</f>
        <v>#REF!</v>
      </c>
      <c r="P12" s="167" t="e">
        <f t="shared" si="7"/>
        <v>#REF!</v>
      </c>
      <c r="Q12" s="167" t="e">
        <f t="shared" si="6"/>
        <v>#REF!</v>
      </c>
      <c r="R12" s="168" t="e">
        <f t="shared" si="8"/>
        <v>#REF!</v>
      </c>
      <c r="S12" s="167" t="e">
        <f t="shared" si="9"/>
        <v>#REF!</v>
      </c>
      <c r="T12" s="167" t="e">
        <f t="shared" si="10"/>
        <v>#REF!</v>
      </c>
    </row>
    <row r="13" spans="1:20" ht="16.5" customHeight="1" x14ac:dyDescent="0.25">
      <c r="A13" s="65">
        <v>3</v>
      </c>
      <c r="B13" s="66" t="s">
        <v>41</v>
      </c>
      <c r="D13" s="174">
        <f>VLOOKUP(B13,'WF Need'!$B$7:$AB$64,27, FALSE)</f>
        <v>63851864.582979739</v>
      </c>
      <c r="E13" s="92">
        <f t="shared" si="3"/>
        <v>2.1344718432801401E-2</v>
      </c>
      <c r="F13" s="8" t="e">
        <f>#REF!</f>
        <v>#REF!</v>
      </c>
      <c r="H13" s="180" t="e">
        <f>IF(F13&lt;Floors!$E$4,Floors!$E$4, "-")</f>
        <v>#REF!</v>
      </c>
      <c r="I13" s="65" t="e">
        <f t="shared" si="4"/>
        <v>#REF!</v>
      </c>
      <c r="J13" s="177" t="e">
        <f>IF(I13="Y",VLOOKUP(B13,#REF!,2,FALSE)*1.1,"N/A ")</f>
        <v>#REF!</v>
      </c>
      <c r="K13" s="177" t="e">
        <f t="shared" si="0"/>
        <v>#REF!</v>
      </c>
      <c r="M13" s="177" t="e">
        <f t="shared" si="5"/>
        <v>#REF!</v>
      </c>
      <c r="N13" s="167" t="e">
        <f t="shared" si="1"/>
        <v>#REF!</v>
      </c>
      <c r="O13" s="165" t="e">
        <f t="shared" si="2"/>
        <v>#REF!</v>
      </c>
      <c r="P13" s="167" t="e">
        <f t="shared" si="7"/>
        <v>#REF!</v>
      </c>
      <c r="Q13" s="167" t="e">
        <f t="shared" si="6"/>
        <v>#REF!</v>
      </c>
      <c r="R13" s="168" t="e">
        <f t="shared" si="8"/>
        <v>#REF!</v>
      </c>
      <c r="S13" s="167" t="e">
        <f t="shared" si="9"/>
        <v>#REF!</v>
      </c>
      <c r="T13" s="167" t="e">
        <f t="shared" si="10"/>
        <v>#REF!</v>
      </c>
    </row>
    <row r="14" spans="1:20" ht="16.5" customHeight="1" x14ac:dyDescent="0.25">
      <c r="A14" s="65">
        <v>1</v>
      </c>
      <c r="B14" s="66" t="s">
        <v>8</v>
      </c>
      <c r="D14" s="174">
        <f>VLOOKUP(B14,'WF Need'!$B$7:$AB$64,27, FALSE)</f>
        <v>4143558.1747150635</v>
      </c>
      <c r="E14" s="92">
        <f t="shared" si="3"/>
        <v>1.3851292069049588E-3</v>
      </c>
      <c r="F14" s="8" t="e">
        <f>#REF!</f>
        <v>#REF!</v>
      </c>
      <c r="H14" s="180" t="e">
        <f>IF(F14&lt;Floors!$E$4,Floors!$E$4, "-")</f>
        <v>#REF!</v>
      </c>
      <c r="I14" s="65" t="e">
        <f t="shared" si="4"/>
        <v>#REF!</v>
      </c>
      <c r="J14" s="177" t="e">
        <f>IF(I14="Y",VLOOKUP(B14,#REF!,2,FALSE)*1.1,"N/A ")</f>
        <v>#REF!</v>
      </c>
      <c r="K14" s="177" t="e">
        <f t="shared" si="0"/>
        <v>#REF!</v>
      </c>
      <c r="M14" s="177" t="e">
        <f t="shared" si="5"/>
        <v>#REF!</v>
      </c>
      <c r="N14" s="167" t="e">
        <f t="shared" si="1"/>
        <v>#REF!</v>
      </c>
      <c r="O14" s="165" t="e">
        <f t="shared" si="2"/>
        <v>#REF!</v>
      </c>
      <c r="P14" s="167" t="e">
        <f t="shared" si="7"/>
        <v>#REF!</v>
      </c>
      <c r="Q14" s="167" t="e">
        <f t="shared" si="6"/>
        <v>#REF!</v>
      </c>
      <c r="R14" s="168" t="e">
        <f t="shared" si="8"/>
        <v>#REF!</v>
      </c>
      <c r="S14" s="167" t="e">
        <f t="shared" si="9"/>
        <v>#REF!</v>
      </c>
      <c r="T14" s="167" t="e">
        <f t="shared" si="10"/>
        <v>#REF!</v>
      </c>
    </row>
    <row r="15" spans="1:20" ht="16.5" customHeight="1" x14ac:dyDescent="0.25">
      <c r="A15" s="65">
        <v>2</v>
      </c>
      <c r="B15" s="66" t="s">
        <v>20</v>
      </c>
      <c r="D15" s="174">
        <f>VLOOKUP(B15,'WF Need'!$B$7:$AB$64,27, FALSE)</f>
        <v>12459721.286971875</v>
      </c>
      <c r="E15" s="92">
        <f t="shared" si="3"/>
        <v>4.1650975168622973E-3</v>
      </c>
      <c r="F15" s="8" t="e">
        <f>#REF!</f>
        <v>#REF!</v>
      </c>
      <c r="H15" s="180" t="e">
        <f>IF(F15&lt;Floors!$E$4,Floors!$E$4, "-")</f>
        <v>#REF!</v>
      </c>
      <c r="I15" s="65" t="e">
        <f t="shared" si="4"/>
        <v>#REF!</v>
      </c>
      <c r="J15" s="177" t="e">
        <f>IF(I15="Y",VLOOKUP(B15,#REF!,2,FALSE)*1.1,"N/A ")</f>
        <v>#REF!</v>
      </c>
      <c r="K15" s="177" t="e">
        <f t="shared" si="0"/>
        <v>#REF!</v>
      </c>
      <c r="M15" s="177" t="e">
        <f t="shared" si="5"/>
        <v>#REF!</v>
      </c>
      <c r="N15" s="167" t="e">
        <f t="shared" si="1"/>
        <v>#REF!</v>
      </c>
      <c r="O15" s="165" t="e">
        <f t="shared" si="2"/>
        <v>#REF!</v>
      </c>
      <c r="P15" s="167" t="e">
        <f t="shared" si="7"/>
        <v>#REF!</v>
      </c>
      <c r="Q15" s="167" t="e">
        <f t="shared" si="6"/>
        <v>#REF!</v>
      </c>
      <c r="R15" s="168" t="e">
        <f t="shared" si="8"/>
        <v>#REF!</v>
      </c>
      <c r="S15" s="167" t="e">
        <f t="shared" si="9"/>
        <v>#REF!</v>
      </c>
      <c r="T15" s="167" t="e">
        <f t="shared" si="10"/>
        <v>#REF!</v>
      </c>
    </row>
    <row r="16" spans="1:20" ht="16.5" customHeight="1" x14ac:dyDescent="0.25">
      <c r="A16" s="65">
        <v>3</v>
      </c>
      <c r="B16" s="66" t="s">
        <v>42</v>
      </c>
      <c r="D16" s="174">
        <f>VLOOKUP(B16,'WF Need'!$B$7:$AB$64,27, FALSE)</f>
        <v>75545290.064518347</v>
      </c>
      <c r="E16" s="92">
        <f t="shared" si="3"/>
        <v>2.5253654781778715E-2</v>
      </c>
      <c r="F16" s="8" t="e">
        <f>#REF!</f>
        <v>#REF!</v>
      </c>
      <c r="H16" s="180" t="e">
        <f>IF(F16&lt;Floors!$E$4,Floors!$E$4, "-")</f>
        <v>#REF!</v>
      </c>
      <c r="I16" s="65" t="e">
        <f t="shared" si="4"/>
        <v>#REF!</v>
      </c>
      <c r="J16" s="177" t="e">
        <f>IF(I16="Y",VLOOKUP(B16,#REF!,2,FALSE)*1.1,"N/A ")</f>
        <v>#REF!</v>
      </c>
      <c r="K16" s="177" t="e">
        <f t="shared" si="0"/>
        <v>#REF!</v>
      </c>
      <c r="M16" s="177" t="e">
        <f t="shared" si="5"/>
        <v>#REF!</v>
      </c>
      <c r="N16" s="167" t="e">
        <f t="shared" si="1"/>
        <v>#REF!</v>
      </c>
      <c r="O16" s="165" t="e">
        <f t="shared" si="2"/>
        <v>#REF!</v>
      </c>
      <c r="P16" s="167" t="e">
        <f t="shared" si="7"/>
        <v>#REF!</v>
      </c>
      <c r="Q16" s="167" t="e">
        <f t="shared" si="6"/>
        <v>#REF!</v>
      </c>
      <c r="R16" s="168" t="e">
        <f t="shared" si="8"/>
        <v>#REF!</v>
      </c>
      <c r="S16" s="167" t="e">
        <f t="shared" si="9"/>
        <v>#REF!</v>
      </c>
      <c r="T16" s="167" t="e">
        <f t="shared" si="10"/>
        <v>#REF!</v>
      </c>
    </row>
    <row r="17" spans="1:20" ht="16.5" customHeight="1" x14ac:dyDescent="0.25">
      <c r="A17" s="65">
        <v>1</v>
      </c>
      <c r="B17" s="66" t="s">
        <v>9</v>
      </c>
      <c r="D17" s="174">
        <f>VLOOKUP(B17,'WF Need'!$B$7:$AB$64,27, FALSE)</f>
        <v>3597431.2175216684</v>
      </c>
      <c r="E17" s="92">
        <f t="shared" si="3"/>
        <v>1.2025671751461735E-3</v>
      </c>
      <c r="F17" s="8" t="e">
        <f>#REF!</f>
        <v>#REF!</v>
      </c>
      <c r="H17" s="180" t="e">
        <f>IF(F17&lt;Floors!$E$4,Floors!$E$4, "-")</f>
        <v>#REF!</v>
      </c>
      <c r="I17" s="65" t="e">
        <f t="shared" si="4"/>
        <v>#REF!</v>
      </c>
      <c r="J17" s="177" t="e">
        <f>IF(I17="Y",VLOOKUP(B17,#REF!,2,FALSE)*1.1,"N/A ")</f>
        <v>#REF!</v>
      </c>
      <c r="K17" s="177" t="e">
        <f t="shared" si="0"/>
        <v>#REF!</v>
      </c>
      <c r="M17" s="177" t="e">
        <f t="shared" si="5"/>
        <v>#REF!</v>
      </c>
      <c r="N17" s="167" t="e">
        <f t="shared" si="1"/>
        <v>#REF!</v>
      </c>
      <c r="O17" s="165" t="e">
        <f t="shared" si="2"/>
        <v>#REF!</v>
      </c>
      <c r="P17" s="167" t="e">
        <f t="shared" si="7"/>
        <v>#REF!</v>
      </c>
      <c r="Q17" s="167" t="e">
        <f t="shared" si="6"/>
        <v>#REF!</v>
      </c>
      <c r="R17" s="168" t="e">
        <f t="shared" si="8"/>
        <v>#REF!</v>
      </c>
      <c r="S17" s="167" t="e">
        <f t="shared" si="9"/>
        <v>#REF!</v>
      </c>
      <c r="T17" s="167" t="e">
        <f t="shared" si="10"/>
        <v>#REF!</v>
      </c>
    </row>
    <row r="18" spans="1:20" ht="16.5" customHeight="1" x14ac:dyDescent="0.25">
      <c r="A18" s="65">
        <v>2</v>
      </c>
      <c r="B18" s="66" t="s">
        <v>21</v>
      </c>
      <c r="C18" s="83"/>
      <c r="D18" s="174">
        <f>VLOOKUP(B18,'WF Need'!$B$7:$AB$64,27, FALSE)</f>
        <v>10588606.638734717</v>
      </c>
      <c r="E18" s="92">
        <f t="shared" si="3"/>
        <v>3.5396120187808789E-3</v>
      </c>
      <c r="F18" s="8" t="e">
        <f>#REF!</f>
        <v>#REF!</v>
      </c>
      <c r="G18" s="83"/>
      <c r="H18" s="180" t="e">
        <f>IF(F18&lt;Floors!$E$4,Floors!$E$4, "-")</f>
        <v>#REF!</v>
      </c>
      <c r="I18" s="65" t="e">
        <f t="shared" si="4"/>
        <v>#REF!</v>
      </c>
      <c r="J18" s="177" t="e">
        <f>IF(I18="Y",VLOOKUP(B18,#REF!,2,FALSE)*1.1,"N/A ")</f>
        <v>#REF!</v>
      </c>
      <c r="K18" s="177" t="e">
        <f t="shared" si="0"/>
        <v>#REF!</v>
      </c>
      <c r="L18" s="83"/>
      <c r="M18" s="177" t="e">
        <f t="shared" si="5"/>
        <v>#REF!</v>
      </c>
      <c r="N18" s="167" t="e">
        <f t="shared" si="1"/>
        <v>#REF!</v>
      </c>
      <c r="O18" s="165" t="e">
        <f t="shared" si="2"/>
        <v>#REF!</v>
      </c>
      <c r="P18" s="167" t="e">
        <f t="shared" si="7"/>
        <v>#REF!</v>
      </c>
      <c r="Q18" s="167" t="e">
        <f t="shared" si="6"/>
        <v>#REF!</v>
      </c>
      <c r="R18" s="168" t="e">
        <f t="shared" si="8"/>
        <v>#REF!</v>
      </c>
      <c r="S18" s="167" t="e">
        <f t="shared" si="9"/>
        <v>#REF!</v>
      </c>
      <c r="T18" s="167" t="e">
        <f t="shared" si="10"/>
        <v>#REF!</v>
      </c>
    </row>
    <row r="19" spans="1:20" ht="16.5" customHeight="1" x14ac:dyDescent="0.25">
      <c r="A19" s="65">
        <v>2</v>
      </c>
      <c r="B19" s="66" t="s">
        <v>22</v>
      </c>
      <c r="D19" s="174">
        <f>VLOOKUP(B19,'WF Need'!$B$7:$AB$64,27, FALSE)</f>
        <v>9089530.5461479556</v>
      </c>
      <c r="E19" s="92">
        <f t="shared" si="3"/>
        <v>3.038493416926647E-3</v>
      </c>
      <c r="F19" s="8" t="e">
        <f>#REF!</f>
        <v>#REF!</v>
      </c>
      <c r="H19" s="180" t="e">
        <f>IF(F19&lt;Floors!$E$4,Floors!$E$4, "-")</f>
        <v>#REF!</v>
      </c>
      <c r="I19" s="65" t="e">
        <f t="shared" si="4"/>
        <v>#REF!</v>
      </c>
      <c r="J19" s="177" t="e">
        <f>IF(I19="Y",VLOOKUP(B19,#REF!,2,FALSE)*1.1,"N/A ")</f>
        <v>#REF!</v>
      </c>
      <c r="K19" s="177" t="e">
        <f t="shared" si="0"/>
        <v>#REF!</v>
      </c>
      <c r="M19" s="177" t="e">
        <f t="shared" si="5"/>
        <v>#REF!</v>
      </c>
      <c r="N19" s="167" t="e">
        <f t="shared" si="1"/>
        <v>#REF!</v>
      </c>
      <c r="O19" s="165" t="e">
        <f t="shared" si="2"/>
        <v>#REF!</v>
      </c>
      <c r="P19" s="167" t="e">
        <f t="shared" si="7"/>
        <v>#REF!</v>
      </c>
      <c r="Q19" s="167" t="e">
        <f t="shared" si="6"/>
        <v>#REF!</v>
      </c>
      <c r="R19" s="168" t="e">
        <f t="shared" si="8"/>
        <v>#REF!</v>
      </c>
      <c r="S19" s="167" t="e">
        <f t="shared" si="9"/>
        <v>#REF!</v>
      </c>
      <c r="T19" s="167" t="e">
        <f t="shared" si="10"/>
        <v>#REF!</v>
      </c>
    </row>
    <row r="20" spans="1:20" ht="16.5" customHeight="1" x14ac:dyDescent="0.25">
      <c r="A20" s="65">
        <v>1</v>
      </c>
      <c r="B20" s="66" t="s">
        <v>10</v>
      </c>
      <c r="D20" s="174">
        <f>VLOOKUP(B20,'WF Need'!$B$7:$AB$64,27, FALSE)</f>
        <v>2879444.7822324261</v>
      </c>
      <c r="E20" s="92">
        <f t="shared" si="3"/>
        <v>9.625551034563401E-4</v>
      </c>
      <c r="F20" s="8" t="e">
        <f>#REF!</f>
        <v>#REF!</v>
      </c>
      <c r="H20" s="180" t="e">
        <f>IF(F20&lt;Floors!$E$4,Floors!$E$4, "-")</f>
        <v>#REF!</v>
      </c>
      <c r="I20" s="65" t="e">
        <f t="shared" si="4"/>
        <v>#REF!</v>
      </c>
      <c r="J20" s="177" t="e">
        <f>IF(I20="Y",VLOOKUP(B20,#REF!,2,FALSE)*1.1,"N/A ")</f>
        <v>#REF!</v>
      </c>
      <c r="K20" s="177" t="e">
        <f t="shared" si="0"/>
        <v>#REF!</v>
      </c>
      <c r="M20" s="177" t="e">
        <f t="shared" si="5"/>
        <v>#REF!</v>
      </c>
      <c r="N20" s="167" t="e">
        <f t="shared" si="1"/>
        <v>#REF!</v>
      </c>
      <c r="O20" s="165" t="e">
        <f t="shared" si="2"/>
        <v>#REF!</v>
      </c>
      <c r="P20" s="167" t="e">
        <f t="shared" si="7"/>
        <v>#REF!</v>
      </c>
      <c r="Q20" s="167" t="e">
        <f t="shared" si="6"/>
        <v>#REF!</v>
      </c>
      <c r="R20" s="168" t="e">
        <f t="shared" si="8"/>
        <v>#REF!</v>
      </c>
      <c r="S20" s="167" t="e">
        <f t="shared" si="9"/>
        <v>#REF!</v>
      </c>
      <c r="T20" s="167" t="e">
        <f t="shared" si="10"/>
        <v>#REF!</v>
      </c>
    </row>
    <row r="21" spans="1:20" ht="16.5" customHeight="1" x14ac:dyDescent="0.25">
      <c r="A21" s="65">
        <v>3</v>
      </c>
      <c r="B21" s="66" t="s">
        <v>43</v>
      </c>
      <c r="D21" s="174">
        <f>VLOOKUP(B21,'WF Need'!$B$7:$AB$64,27, FALSE)</f>
        <v>75373264.961439461</v>
      </c>
      <c r="E21" s="92">
        <f t="shared" si="3"/>
        <v>2.519614937590571E-2</v>
      </c>
      <c r="F21" s="8" t="e">
        <f>#REF!</f>
        <v>#REF!</v>
      </c>
      <c r="H21" s="180" t="e">
        <f>IF(F21&lt;Floors!$E$4,Floors!$E$4, "-")</f>
        <v>#REF!</v>
      </c>
      <c r="I21" s="65" t="e">
        <f t="shared" si="4"/>
        <v>#REF!</v>
      </c>
      <c r="J21" s="177" t="e">
        <f>IF(I21="Y",VLOOKUP(B21,#REF!,2,FALSE)*1.1,"N/A ")</f>
        <v>#REF!</v>
      </c>
      <c r="K21" s="177" t="e">
        <f t="shared" si="0"/>
        <v>#REF!</v>
      </c>
      <c r="M21" s="177" t="e">
        <f t="shared" si="5"/>
        <v>#REF!</v>
      </c>
      <c r="N21" s="167" t="e">
        <f t="shared" si="1"/>
        <v>#REF!</v>
      </c>
      <c r="O21" s="165" t="e">
        <f t="shared" si="2"/>
        <v>#REF!</v>
      </c>
      <c r="P21" s="167" t="e">
        <f t="shared" si="7"/>
        <v>#REF!</v>
      </c>
      <c r="Q21" s="167" t="e">
        <f t="shared" si="6"/>
        <v>#REF!</v>
      </c>
      <c r="R21" s="168" t="e">
        <f t="shared" si="8"/>
        <v>#REF!</v>
      </c>
      <c r="S21" s="167" t="e">
        <f t="shared" si="9"/>
        <v>#REF!</v>
      </c>
      <c r="T21" s="167" t="e">
        <f t="shared" si="10"/>
        <v>#REF!</v>
      </c>
    </row>
    <row r="22" spans="1:20" ht="16.5" customHeight="1" x14ac:dyDescent="0.25">
      <c r="A22" s="65">
        <v>2</v>
      </c>
      <c r="B22" s="66" t="s">
        <v>23</v>
      </c>
      <c r="D22" s="174">
        <f>VLOOKUP(B22,'WF Need'!$B$7:$AB$64,27, FALSE)</f>
        <v>11991986.186799916</v>
      </c>
      <c r="E22" s="92">
        <f t="shared" si="3"/>
        <v>4.008740704426003E-3</v>
      </c>
      <c r="F22" s="8" t="e">
        <f>#REF!</f>
        <v>#REF!</v>
      </c>
      <c r="H22" s="180" t="e">
        <f>IF(F22&lt;Floors!$E$4,Floors!$E$4, "-")</f>
        <v>#REF!</v>
      </c>
      <c r="I22" s="65" t="e">
        <f t="shared" si="4"/>
        <v>#REF!</v>
      </c>
      <c r="J22" s="177" t="e">
        <f>IF(I22="Y",VLOOKUP(B22,#REF!,2,FALSE)*1.1,"N/A ")</f>
        <v>#REF!</v>
      </c>
      <c r="K22" s="177" t="e">
        <f t="shared" si="0"/>
        <v>#REF!</v>
      </c>
      <c r="M22" s="177" t="e">
        <f t="shared" si="5"/>
        <v>#REF!</v>
      </c>
      <c r="N22" s="167" t="e">
        <f t="shared" si="1"/>
        <v>#REF!</v>
      </c>
      <c r="O22" s="165" t="e">
        <f t="shared" si="2"/>
        <v>#REF!</v>
      </c>
      <c r="P22" s="167" t="e">
        <f t="shared" si="7"/>
        <v>#REF!</v>
      </c>
      <c r="Q22" s="167" t="e">
        <f t="shared" si="6"/>
        <v>#REF!</v>
      </c>
      <c r="R22" s="168" t="e">
        <f t="shared" si="8"/>
        <v>#REF!</v>
      </c>
      <c r="S22" s="167" t="e">
        <f t="shared" si="9"/>
        <v>#REF!</v>
      </c>
      <c r="T22" s="167" t="e">
        <f t="shared" si="10"/>
        <v>#REF!</v>
      </c>
    </row>
    <row r="23" spans="1:20" ht="16.5" customHeight="1" x14ac:dyDescent="0.25">
      <c r="A23" s="65">
        <v>2</v>
      </c>
      <c r="B23" s="66" t="s">
        <v>24</v>
      </c>
      <c r="D23" s="174">
        <f>VLOOKUP(B23,'WF Need'!$B$7:$AB$64,27, FALSE)</f>
        <v>6801778.6905593798</v>
      </c>
      <c r="E23" s="92">
        <f t="shared" si="3"/>
        <v>2.2737323638144483E-3</v>
      </c>
      <c r="F23" s="8" t="e">
        <f>#REF!</f>
        <v>#REF!</v>
      </c>
      <c r="H23" s="180" t="e">
        <f>IF(F23&lt;Floors!$E$4,Floors!$E$4, "-")</f>
        <v>#REF!</v>
      </c>
      <c r="I23" s="65" t="e">
        <f t="shared" si="4"/>
        <v>#REF!</v>
      </c>
      <c r="J23" s="177" t="e">
        <f>IF(I23="Y",VLOOKUP(B23,#REF!,2,FALSE)*1.1,"N/A ")</f>
        <v>#REF!</v>
      </c>
      <c r="K23" s="177" t="e">
        <f t="shared" si="0"/>
        <v>#REF!</v>
      </c>
      <c r="M23" s="177" t="e">
        <f t="shared" si="5"/>
        <v>#REF!</v>
      </c>
      <c r="N23" s="167" t="e">
        <f t="shared" si="1"/>
        <v>#REF!</v>
      </c>
      <c r="O23" s="165" t="e">
        <f t="shared" si="2"/>
        <v>#REF!</v>
      </c>
      <c r="P23" s="167" t="e">
        <f t="shared" si="7"/>
        <v>#REF!</v>
      </c>
      <c r="Q23" s="167" t="e">
        <f t="shared" si="6"/>
        <v>#REF!</v>
      </c>
      <c r="R23" s="168" t="e">
        <f t="shared" si="8"/>
        <v>#REF!</v>
      </c>
      <c r="S23" s="167" t="e">
        <f t="shared" si="9"/>
        <v>#REF!</v>
      </c>
      <c r="T23" s="167" t="e">
        <f t="shared" si="10"/>
        <v>#REF!</v>
      </c>
    </row>
    <row r="24" spans="1:20" ht="16.5" customHeight="1" x14ac:dyDescent="0.25">
      <c r="A24" s="65">
        <v>1</v>
      </c>
      <c r="B24" s="66" t="s">
        <v>11</v>
      </c>
      <c r="D24" s="174">
        <f>VLOOKUP(B24,'WF Need'!$B$7:$AB$64,27, FALSE)</f>
        <v>3011499.3004306913</v>
      </c>
      <c r="E24" s="92">
        <f t="shared" si="3"/>
        <v>1.0066989436891994E-3</v>
      </c>
      <c r="F24" s="8" t="e">
        <f>#REF!</f>
        <v>#REF!</v>
      </c>
      <c r="H24" s="180" t="e">
        <f>IF(F24&lt;Floors!$E$4,Floors!$E$4, "-")</f>
        <v>#REF!</v>
      </c>
      <c r="I24" s="65" t="e">
        <f t="shared" si="4"/>
        <v>#REF!</v>
      </c>
      <c r="J24" s="177" t="e">
        <f>IF(I24="Y",VLOOKUP(B24,#REF!,2,FALSE)*1.1,"N/A ")</f>
        <v>#REF!</v>
      </c>
      <c r="K24" s="177" t="e">
        <f t="shared" si="0"/>
        <v>#REF!</v>
      </c>
      <c r="M24" s="178" t="e">
        <f t="shared" si="5"/>
        <v>#REF!</v>
      </c>
      <c r="N24" s="167" t="e">
        <f t="shared" si="1"/>
        <v>#REF!</v>
      </c>
      <c r="O24" s="169" t="e">
        <f t="shared" si="2"/>
        <v>#REF!</v>
      </c>
      <c r="P24" s="167" t="e">
        <f t="shared" si="7"/>
        <v>#REF!</v>
      </c>
      <c r="Q24" s="167" t="e">
        <f t="shared" si="6"/>
        <v>#REF!</v>
      </c>
      <c r="R24" s="168" t="e">
        <f t="shared" si="8"/>
        <v>#REF!</v>
      </c>
      <c r="S24" s="167" t="e">
        <f t="shared" si="9"/>
        <v>#REF!</v>
      </c>
      <c r="T24" s="167" t="e">
        <f t="shared" si="10"/>
        <v>#REF!</v>
      </c>
    </row>
    <row r="25" spans="1:20" ht="16.5" customHeight="1" x14ac:dyDescent="0.25">
      <c r="A25" s="65">
        <v>4</v>
      </c>
      <c r="B25" s="66" t="s">
        <v>54</v>
      </c>
      <c r="D25" s="174">
        <f>VLOOKUP(B25,'WF Need'!$B$7:$AB$64,27, FALSE)</f>
        <v>855155403.30448627</v>
      </c>
      <c r="E25" s="92">
        <f t="shared" si="3"/>
        <v>0.28586559561000652</v>
      </c>
      <c r="F25" s="8" t="e">
        <f>#REF!</f>
        <v>#REF!</v>
      </c>
      <c r="H25" s="180" t="e">
        <f>IF(F25&lt;Floors!$E$4,Floors!$E$4, "-")</f>
        <v>#REF!</v>
      </c>
      <c r="I25" s="65" t="e">
        <f t="shared" si="4"/>
        <v>#REF!</v>
      </c>
      <c r="J25" s="177" t="e">
        <f>IF(I25="Y",VLOOKUP(B25,#REF!,2,FALSE)*1.1,"N/A ")</f>
        <v>#REF!</v>
      </c>
      <c r="K25" s="177" t="e">
        <f t="shared" si="0"/>
        <v>#REF!</v>
      </c>
      <c r="M25" s="177" t="e">
        <f t="shared" si="5"/>
        <v>#REF!</v>
      </c>
      <c r="N25" s="167" t="e">
        <f t="shared" si="1"/>
        <v>#REF!</v>
      </c>
      <c r="O25" s="165" t="e">
        <f t="shared" si="2"/>
        <v>#REF!</v>
      </c>
      <c r="P25" s="167" t="e">
        <f t="shared" si="7"/>
        <v>#REF!</v>
      </c>
      <c r="Q25" s="167" t="e">
        <f t="shared" si="6"/>
        <v>#REF!</v>
      </c>
      <c r="R25" s="168" t="e">
        <f t="shared" si="8"/>
        <v>#REF!</v>
      </c>
      <c r="S25" s="167" t="e">
        <f t="shared" si="9"/>
        <v>#REF!</v>
      </c>
      <c r="T25" s="167" t="e">
        <f t="shared" si="10"/>
        <v>#REF!</v>
      </c>
    </row>
    <row r="26" spans="1:20" ht="16.5" customHeight="1" x14ac:dyDescent="0.25">
      <c r="A26" s="65">
        <v>2</v>
      </c>
      <c r="B26" s="66" t="s">
        <v>25</v>
      </c>
      <c r="D26" s="174">
        <f>VLOOKUP(B26,'WF Need'!$B$7:$AB$64,27, FALSE)</f>
        <v>14889329.635002324</v>
      </c>
      <c r="E26" s="92">
        <f t="shared" si="3"/>
        <v>4.9772790628420409E-3</v>
      </c>
      <c r="F26" s="8" t="e">
        <f>#REF!</f>
        <v>#REF!</v>
      </c>
      <c r="H26" s="180" t="e">
        <f>IF(F26&lt;Floors!$E$4,Floors!$E$4, "-")</f>
        <v>#REF!</v>
      </c>
      <c r="I26" s="65" t="e">
        <f t="shared" si="4"/>
        <v>#REF!</v>
      </c>
      <c r="J26" s="177" t="e">
        <f>IF(I26="Y",VLOOKUP(B26,#REF!,2,FALSE)*1.1,"N/A ")</f>
        <v>#REF!</v>
      </c>
      <c r="K26" s="177" t="e">
        <f t="shared" si="0"/>
        <v>#REF!</v>
      </c>
      <c r="M26" s="177" t="e">
        <f t="shared" si="5"/>
        <v>#REF!</v>
      </c>
      <c r="N26" s="167" t="e">
        <f t="shared" si="1"/>
        <v>#REF!</v>
      </c>
      <c r="O26" s="165" t="e">
        <f t="shared" si="2"/>
        <v>#REF!</v>
      </c>
      <c r="P26" s="167" t="e">
        <f t="shared" si="7"/>
        <v>#REF!</v>
      </c>
      <c r="Q26" s="167" t="e">
        <f t="shared" si="6"/>
        <v>#REF!</v>
      </c>
      <c r="R26" s="168" t="e">
        <f t="shared" si="8"/>
        <v>#REF!</v>
      </c>
      <c r="S26" s="167" t="e">
        <f t="shared" si="9"/>
        <v>#REF!</v>
      </c>
      <c r="T26" s="167" t="e">
        <f t="shared" si="10"/>
        <v>#REF!</v>
      </c>
    </row>
    <row r="27" spans="1:20" ht="16.5" customHeight="1" x14ac:dyDescent="0.25">
      <c r="A27" s="65">
        <v>2</v>
      </c>
      <c r="B27" s="66" t="s">
        <v>26</v>
      </c>
      <c r="D27" s="174">
        <f>VLOOKUP(B27,'WF Need'!$B$7:$AB$64,27, FALSE)</f>
        <v>16306453.269072402</v>
      </c>
      <c r="E27" s="92">
        <f t="shared" si="3"/>
        <v>5.4510021898211232E-3</v>
      </c>
      <c r="F27" s="8" t="e">
        <f>#REF!</f>
        <v>#REF!</v>
      </c>
      <c r="H27" s="180" t="e">
        <f>IF(F27&lt;Floors!$E$4,Floors!$E$4, "-")</f>
        <v>#REF!</v>
      </c>
      <c r="I27" s="65" t="e">
        <f t="shared" si="4"/>
        <v>#REF!</v>
      </c>
      <c r="J27" s="177" t="e">
        <f>IF(I27="Y",VLOOKUP(B27,#REF!,2,FALSE)*1.1,"N/A ")</f>
        <v>#REF!</v>
      </c>
      <c r="K27" s="177" t="e">
        <f t="shared" si="0"/>
        <v>#REF!</v>
      </c>
      <c r="M27" s="177" t="e">
        <f t="shared" si="5"/>
        <v>#REF!</v>
      </c>
      <c r="N27" s="167" t="e">
        <f t="shared" si="1"/>
        <v>#REF!</v>
      </c>
      <c r="O27" s="165" t="e">
        <f t="shared" si="2"/>
        <v>#REF!</v>
      </c>
      <c r="P27" s="167" t="e">
        <f t="shared" si="7"/>
        <v>#REF!</v>
      </c>
      <c r="Q27" s="167" t="e">
        <f t="shared" si="6"/>
        <v>#REF!</v>
      </c>
      <c r="R27" s="168" t="e">
        <f t="shared" si="8"/>
        <v>#REF!</v>
      </c>
      <c r="S27" s="167" t="e">
        <f t="shared" si="9"/>
        <v>#REF!</v>
      </c>
      <c r="T27" s="167" t="e">
        <f t="shared" si="10"/>
        <v>#REF!</v>
      </c>
    </row>
    <row r="28" spans="1:20" ht="16.5" customHeight="1" x14ac:dyDescent="0.25">
      <c r="A28" s="65">
        <v>1</v>
      </c>
      <c r="B28" s="66" t="s">
        <v>12</v>
      </c>
      <c r="D28" s="174">
        <f>VLOOKUP(B28,'WF Need'!$B$7:$AB$64,27, FALSE)</f>
        <v>1977763.2328053883</v>
      </c>
      <c r="E28" s="92">
        <f t="shared" si="3"/>
        <v>6.6113651663401508E-4</v>
      </c>
      <c r="F28" s="8" t="e">
        <f>#REF!</f>
        <v>#REF!</v>
      </c>
      <c r="H28" s="180" t="e">
        <f>IF(F28&lt;Floors!$E$4,Floors!$E$4, "-")</f>
        <v>#REF!</v>
      </c>
      <c r="I28" s="65" t="e">
        <f t="shared" si="4"/>
        <v>#REF!</v>
      </c>
      <c r="J28" s="177" t="e">
        <f>IF(I28="Y",VLOOKUP(B28,#REF!,2,FALSE)*1.1,"N/A ")</f>
        <v>#REF!</v>
      </c>
      <c r="K28" s="177" t="e">
        <f t="shared" si="0"/>
        <v>#REF!</v>
      </c>
      <c r="M28" s="178" t="e">
        <f t="shared" si="5"/>
        <v>#REF!</v>
      </c>
      <c r="N28" s="167" t="e">
        <f t="shared" si="1"/>
        <v>#REF!</v>
      </c>
      <c r="O28" s="167" t="e">
        <f t="shared" si="2"/>
        <v>#REF!</v>
      </c>
      <c r="P28" s="167" t="e">
        <f>IF(M28="n/a",(IF(AND(H28=750000,(F28&gt;750000)), H28-F28, 0)),M28-F28)</f>
        <v>#REF!</v>
      </c>
      <c r="Q28" s="167" t="e">
        <f t="shared" si="6"/>
        <v>#REF!</v>
      </c>
      <c r="R28" s="168" t="e">
        <f t="shared" si="8"/>
        <v>#REF!</v>
      </c>
      <c r="S28" s="167" t="e">
        <f t="shared" si="9"/>
        <v>#REF!</v>
      </c>
      <c r="T28" s="167" t="e">
        <f t="shared" si="10"/>
        <v>#REF!</v>
      </c>
    </row>
    <row r="29" spans="1:20" ht="16.5" customHeight="1" x14ac:dyDescent="0.25">
      <c r="A29" s="65">
        <v>2</v>
      </c>
      <c r="B29" s="66" t="s">
        <v>27</v>
      </c>
      <c r="D29" s="174">
        <f>VLOOKUP(B29,'WF Need'!$B$7:$AB$64,27, FALSE)</f>
        <v>8317611.5156976879</v>
      </c>
      <c r="E29" s="92">
        <f t="shared" si="3"/>
        <v>2.7804524894534978E-3</v>
      </c>
      <c r="F29" s="8" t="e">
        <f>#REF!</f>
        <v>#REF!</v>
      </c>
      <c r="H29" s="180" t="e">
        <f>IF(F29&lt;Floors!$E$4,Floors!$E$4, "-")</f>
        <v>#REF!</v>
      </c>
      <c r="I29" s="65" t="e">
        <f t="shared" si="4"/>
        <v>#REF!</v>
      </c>
      <c r="J29" s="177" t="e">
        <f>IF(I29="Y",VLOOKUP(B29,#REF!,2,FALSE)*1.1,"N/A ")</f>
        <v>#REF!</v>
      </c>
      <c r="K29" s="177" t="e">
        <f t="shared" si="0"/>
        <v>#REF!</v>
      </c>
      <c r="M29" s="177" t="e">
        <f t="shared" si="5"/>
        <v>#REF!</v>
      </c>
      <c r="N29" s="167" t="e">
        <f t="shared" si="1"/>
        <v>#REF!</v>
      </c>
      <c r="O29" s="165" t="e">
        <f t="shared" si="2"/>
        <v>#REF!</v>
      </c>
      <c r="P29" s="167" t="e">
        <f>IF(M29="n/a",(IF(AND(H29=750000,(F29&gt;750000)), H29-F29, 0)),M29-F29)</f>
        <v>#REF!</v>
      </c>
      <c r="Q29" s="167" t="e">
        <f t="shared" si="6"/>
        <v>#REF!</v>
      </c>
      <c r="R29" s="168" t="e">
        <f t="shared" si="8"/>
        <v>#REF!</v>
      </c>
      <c r="S29" s="167" t="e">
        <f t="shared" si="9"/>
        <v>#REF!</v>
      </c>
      <c r="T29" s="167" t="e">
        <f t="shared" si="10"/>
        <v>#REF!</v>
      </c>
    </row>
    <row r="30" spans="1:20" ht="16.5" customHeight="1" x14ac:dyDescent="0.25">
      <c r="A30" s="65">
        <v>2</v>
      </c>
      <c r="B30" s="66" t="s">
        <v>28</v>
      </c>
      <c r="D30" s="174">
        <f>VLOOKUP(B30,'WF Need'!$B$7:$AB$64,27, FALSE)</f>
        <v>19764230.630340096</v>
      </c>
      <c r="E30" s="92">
        <f t="shared" si="3"/>
        <v>6.6068851802647153E-3</v>
      </c>
      <c r="F30" s="8" t="e">
        <f>#REF!</f>
        <v>#REF!</v>
      </c>
      <c r="H30" s="180" t="e">
        <f>IF(F30&lt;Floors!$E$4,Floors!$E$4, "-")</f>
        <v>#REF!</v>
      </c>
      <c r="I30" s="65" t="e">
        <f t="shared" si="4"/>
        <v>#REF!</v>
      </c>
      <c r="J30" s="177" t="e">
        <f>IF(I30="Y",VLOOKUP(B30,#REF!,2,FALSE)*1.1,"N/A ")</f>
        <v>#REF!</v>
      </c>
      <c r="K30" s="177" t="e">
        <f t="shared" si="0"/>
        <v>#REF!</v>
      </c>
      <c r="M30" s="177" t="e">
        <f t="shared" si="5"/>
        <v>#REF!</v>
      </c>
      <c r="N30" s="167" t="e">
        <f t="shared" si="1"/>
        <v>#REF!</v>
      </c>
      <c r="O30" s="165" t="e">
        <f t="shared" si="2"/>
        <v>#REF!</v>
      </c>
      <c r="P30" s="167" t="e">
        <f t="shared" ref="P30:P41" si="11">IF(M30="n/a",(IF(AND(H30=750000,(F30&gt;750000)), H30-F30, 0)),M30-F30)</f>
        <v>#REF!</v>
      </c>
      <c r="Q30" s="167" t="e">
        <f t="shared" si="6"/>
        <v>#REF!</v>
      </c>
      <c r="R30" s="168" t="e">
        <f t="shared" si="8"/>
        <v>#REF!</v>
      </c>
      <c r="S30" s="167" t="e">
        <f t="shared" si="9"/>
        <v>#REF!</v>
      </c>
      <c r="T30" s="167" t="e">
        <f t="shared" si="10"/>
        <v>#REF!</v>
      </c>
    </row>
    <row r="31" spans="1:20" ht="16.5" customHeight="1" x14ac:dyDescent="0.25">
      <c r="A31" s="65">
        <v>1</v>
      </c>
      <c r="B31" s="66" t="s">
        <v>13</v>
      </c>
      <c r="D31" s="174">
        <f>VLOOKUP(B31,'WF Need'!$B$7:$AB$64,27, FALSE)</f>
        <v>1631238.7050369193</v>
      </c>
      <c r="E31" s="92">
        <f t="shared" si="3"/>
        <v>5.4529857637049717E-4</v>
      </c>
      <c r="F31" s="8" t="e">
        <f>#REF!</f>
        <v>#REF!</v>
      </c>
      <c r="H31" s="180" t="e">
        <f>IF(F31&lt;Floors!$E$4,Floors!$E$4, "-")</f>
        <v>#REF!</v>
      </c>
      <c r="I31" s="65" t="e">
        <f t="shared" si="4"/>
        <v>#REF!</v>
      </c>
      <c r="J31" s="177" t="e">
        <f>IF(I31="Y",VLOOKUP(B31,#REF!,2,FALSE)*1.1,"N/A ")</f>
        <v>#REF!</v>
      </c>
      <c r="K31" s="177" t="e">
        <f t="shared" si="0"/>
        <v>#REF!</v>
      </c>
      <c r="M31" s="177" t="e">
        <f t="shared" si="5"/>
        <v>#REF!</v>
      </c>
      <c r="N31" s="167" t="e">
        <f t="shared" si="1"/>
        <v>#REF!</v>
      </c>
      <c r="O31" s="167" t="e">
        <f t="shared" si="2"/>
        <v>#REF!</v>
      </c>
      <c r="P31" s="167" t="e">
        <f t="shared" si="11"/>
        <v>#REF!</v>
      </c>
      <c r="Q31" s="167" t="e">
        <f t="shared" si="6"/>
        <v>#REF!</v>
      </c>
      <c r="R31" s="168" t="e">
        <f t="shared" si="8"/>
        <v>#REF!</v>
      </c>
      <c r="S31" s="167" t="e">
        <f t="shared" si="9"/>
        <v>#REF!</v>
      </c>
      <c r="T31" s="167" t="e">
        <f t="shared" si="10"/>
        <v>#REF!</v>
      </c>
    </row>
    <row r="32" spans="1:20" ht="16.5" customHeight="1" x14ac:dyDescent="0.25">
      <c r="A32" s="65">
        <v>1</v>
      </c>
      <c r="B32" s="66" t="s">
        <v>14</v>
      </c>
      <c r="D32" s="174">
        <f>VLOOKUP(B32,'WF Need'!$B$7:$AB$64,27, FALSE)</f>
        <v>1832353.0873718744</v>
      </c>
      <c r="E32" s="92">
        <f t="shared" si="3"/>
        <v>6.1252809099411002E-4</v>
      </c>
      <c r="F32" s="8" t="e">
        <f>#REF!</f>
        <v>#REF!</v>
      </c>
      <c r="H32" s="180" t="e">
        <f>IF(F32&lt;Floors!$E$4,Floors!$E$4, "-")</f>
        <v>#REF!</v>
      </c>
      <c r="I32" s="65" t="e">
        <f t="shared" si="4"/>
        <v>#REF!</v>
      </c>
      <c r="J32" s="177" t="e">
        <f>IF(I32="Y",VLOOKUP(B32,#REF!,2,FALSE)*1.1,"N/A ")</f>
        <v>#REF!</v>
      </c>
      <c r="K32" s="177" t="e">
        <f t="shared" si="0"/>
        <v>#REF!</v>
      </c>
      <c r="M32" s="178" t="e">
        <f t="shared" si="5"/>
        <v>#REF!</v>
      </c>
      <c r="N32" s="167" t="e">
        <f t="shared" si="1"/>
        <v>#REF!</v>
      </c>
      <c r="O32" s="167" t="e">
        <f t="shared" si="2"/>
        <v>#REF!</v>
      </c>
      <c r="P32" s="167" t="e">
        <f t="shared" si="11"/>
        <v>#REF!</v>
      </c>
      <c r="Q32" s="167" t="e">
        <f t="shared" si="6"/>
        <v>#REF!</v>
      </c>
      <c r="R32" s="168" t="e">
        <f t="shared" si="8"/>
        <v>#REF!</v>
      </c>
      <c r="S32" s="167" t="e">
        <f t="shared" si="9"/>
        <v>#REF!</v>
      </c>
      <c r="T32" s="167" t="e">
        <f t="shared" si="10"/>
        <v>#REF!</v>
      </c>
    </row>
    <row r="33" spans="1:20" ht="16.5" customHeight="1" x14ac:dyDescent="0.25">
      <c r="A33" s="65">
        <v>3</v>
      </c>
      <c r="B33" s="66" t="s">
        <v>44</v>
      </c>
      <c r="D33" s="174">
        <f>VLOOKUP(B33,'WF Need'!$B$7:$AB$64,27, FALSE)</f>
        <v>30711141.423641354</v>
      </c>
      <c r="E33" s="92">
        <f t="shared" si="3"/>
        <v>1.0266272891462326E-2</v>
      </c>
      <c r="F33" s="8" t="e">
        <f>#REF!</f>
        <v>#REF!</v>
      </c>
      <c r="H33" s="180" t="e">
        <f>IF(F33&lt;Floors!$E$4,Floors!$E$4, "-")</f>
        <v>#REF!</v>
      </c>
      <c r="I33" s="65" t="e">
        <f t="shared" si="4"/>
        <v>#REF!</v>
      </c>
      <c r="J33" s="177" t="e">
        <f>IF(I33="Y",VLOOKUP(B33,#REF!,2,FALSE)*1.1,"N/A ")</f>
        <v>#REF!</v>
      </c>
      <c r="K33" s="177" t="e">
        <f t="shared" si="0"/>
        <v>#REF!</v>
      </c>
      <c r="M33" s="177" t="e">
        <f t="shared" si="5"/>
        <v>#REF!</v>
      </c>
      <c r="N33" s="167" t="e">
        <f t="shared" si="1"/>
        <v>#REF!</v>
      </c>
      <c r="O33" s="165" t="e">
        <f t="shared" si="2"/>
        <v>#REF!</v>
      </c>
      <c r="P33" s="167" t="e">
        <f t="shared" si="11"/>
        <v>#REF!</v>
      </c>
      <c r="Q33" s="167" t="e">
        <f t="shared" si="6"/>
        <v>#REF!</v>
      </c>
      <c r="R33" s="168" t="e">
        <f t="shared" si="8"/>
        <v>#REF!</v>
      </c>
      <c r="S33" s="167" t="e">
        <f t="shared" si="9"/>
        <v>#REF!</v>
      </c>
      <c r="T33" s="167" t="e">
        <f t="shared" si="10"/>
        <v>#REF!</v>
      </c>
    </row>
    <row r="34" spans="1:20" ht="16.5" customHeight="1" x14ac:dyDescent="0.25">
      <c r="A34" s="65">
        <v>2</v>
      </c>
      <c r="B34" s="66" t="s">
        <v>29</v>
      </c>
      <c r="D34" s="174">
        <f>VLOOKUP(B34,'WF Need'!$B$7:$AB$64,27, FALSE)</f>
        <v>11751145.590723062</v>
      </c>
      <c r="E34" s="92">
        <f t="shared" si="3"/>
        <v>3.9282313137602399E-3</v>
      </c>
      <c r="F34" s="8" t="e">
        <f>#REF!</f>
        <v>#REF!</v>
      </c>
      <c r="H34" s="180" t="e">
        <f>IF(F34&lt;Floors!$E$4,Floors!$E$4, "-")</f>
        <v>#REF!</v>
      </c>
      <c r="I34" s="65" t="e">
        <f t="shared" si="4"/>
        <v>#REF!</v>
      </c>
      <c r="J34" s="177" t="e">
        <f>IF(I34="Y",VLOOKUP(B34,#REF!,2,FALSE)*1.1,"N/A ")</f>
        <v>#REF!</v>
      </c>
      <c r="K34" s="177" t="e">
        <f t="shared" si="0"/>
        <v>#REF!</v>
      </c>
      <c r="M34" s="177" t="e">
        <f t="shared" si="5"/>
        <v>#REF!</v>
      </c>
      <c r="N34" s="167" t="e">
        <f t="shared" si="1"/>
        <v>#REF!</v>
      </c>
      <c r="O34" s="165" t="e">
        <f t="shared" si="2"/>
        <v>#REF!</v>
      </c>
      <c r="P34" s="167" t="e">
        <f t="shared" si="11"/>
        <v>#REF!</v>
      </c>
      <c r="Q34" s="167" t="e">
        <f t="shared" si="6"/>
        <v>#REF!</v>
      </c>
      <c r="R34" s="168" t="e">
        <f t="shared" si="8"/>
        <v>#REF!</v>
      </c>
      <c r="S34" s="167" t="e">
        <f t="shared" si="9"/>
        <v>#REF!</v>
      </c>
      <c r="T34" s="167" t="e">
        <f t="shared" si="10"/>
        <v>#REF!</v>
      </c>
    </row>
    <row r="35" spans="1:20" ht="16.5" customHeight="1" x14ac:dyDescent="0.25">
      <c r="A35" s="65">
        <v>2</v>
      </c>
      <c r="B35" s="66" t="s">
        <v>30</v>
      </c>
      <c r="D35" s="174">
        <f>VLOOKUP(B35,'WF Need'!$B$7:$AB$64,27, FALSE)</f>
        <v>8091168.1675911555</v>
      </c>
      <c r="E35" s="92">
        <f t="shared" si="3"/>
        <v>2.7047558823476321E-3</v>
      </c>
      <c r="F35" s="8" t="e">
        <f>#REF!</f>
        <v>#REF!</v>
      </c>
      <c r="H35" s="180" t="e">
        <f>IF(F35&lt;Floors!$E$4,Floors!$E$4, "-")</f>
        <v>#REF!</v>
      </c>
      <c r="I35" s="65" t="e">
        <f t="shared" si="4"/>
        <v>#REF!</v>
      </c>
      <c r="J35" s="177" t="e">
        <f>IF(I35="Y",VLOOKUP(B35,#REF!,2,FALSE)*1.1,"N/A ")</f>
        <v>#REF!</v>
      </c>
      <c r="K35" s="177" t="e">
        <f t="shared" si="0"/>
        <v>#REF!</v>
      </c>
      <c r="M35" s="177" t="e">
        <f t="shared" si="5"/>
        <v>#REF!</v>
      </c>
      <c r="N35" s="167" t="e">
        <f t="shared" si="1"/>
        <v>#REF!</v>
      </c>
      <c r="O35" s="165" t="e">
        <f t="shared" si="2"/>
        <v>#REF!</v>
      </c>
      <c r="P35" s="167" t="e">
        <f t="shared" si="11"/>
        <v>#REF!</v>
      </c>
      <c r="Q35" s="167" t="e">
        <f t="shared" si="6"/>
        <v>#REF!</v>
      </c>
      <c r="R35" s="168" t="e">
        <f t="shared" si="8"/>
        <v>#REF!</v>
      </c>
      <c r="S35" s="167" t="e">
        <f t="shared" si="9"/>
        <v>#REF!</v>
      </c>
      <c r="T35" s="167" t="e">
        <f t="shared" si="10"/>
        <v>#REF!</v>
      </c>
    </row>
    <row r="36" spans="1:20" ht="16.5" customHeight="1" x14ac:dyDescent="0.25">
      <c r="A36" s="65">
        <v>4</v>
      </c>
      <c r="B36" s="66" t="s">
        <v>55</v>
      </c>
      <c r="D36" s="174">
        <f>VLOOKUP(B36,'WF Need'!$B$7:$AB$64,27, FALSE)</f>
        <v>227825417.67722219</v>
      </c>
      <c r="E36" s="92">
        <f t="shared" si="3"/>
        <v>7.6158612186431315E-2</v>
      </c>
      <c r="F36" s="8" t="e">
        <f>#REF!</f>
        <v>#REF!</v>
      </c>
      <c r="H36" s="180" t="e">
        <f>IF(F36&lt;Floors!$E$4,Floors!$E$4, "-")</f>
        <v>#REF!</v>
      </c>
      <c r="I36" s="65" t="e">
        <f t="shared" si="4"/>
        <v>#REF!</v>
      </c>
      <c r="J36" s="177" t="e">
        <f>IF(I36="Y",VLOOKUP(B36,#REF!,2,FALSE)*1.1,"N/A ")</f>
        <v>#REF!</v>
      </c>
      <c r="K36" s="177" t="e">
        <f t="shared" si="0"/>
        <v>#REF!</v>
      </c>
      <c r="M36" s="177" t="e">
        <f t="shared" si="5"/>
        <v>#REF!</v>
      </c>
      <c r="N36" s="167" t="e">
        <f t="shared" si="1"/>
        <v>#REF!</v>
      </c>
      <c r="O36" s="165" t="e">
        <f t="shared" si="2"/>
        <v>#REF!</v>
      </c>
      <c r="P36" s="167" t="e">
        <f t="shared" si="11"/>
        <v>#REF!</v>
      </c>
      <c r="Q36" s="167" t="e">
        <f t="shared" si="6"/>
        <v>#REF!</v>
      </c>
      <c r="R36" s="168" t="e">
        <f t="shared" si="8"/>
        <v>#REF!</v>
      </c>
      <c r="S36" s="167" t="e">
        <f t="shared" si="9"/>
        <v>#REF!</v>
      </c>
      <c r="T36" s="167" t="e">
        <f t="shared" si="10"/>
        <v>#REF!</v>
      </c>
    </row>
    <row r="37" spans="1:20" ht="16.5" customHeight="1" x14ac:dyDescent="0.25">
      <c r="A37" s="65">
        <v>2</v>
      </c>
      <c r="B37" s="66" t="s">
        <v>31</v>
      </c>
      <c r="D37" s="174">
        <f>VLOOKUP(B37,'WF Need'!$B$7:$AB$64,27, FALSE)</f>
        <v>30658907.491933376</v>
      </c>
      <c r="E37" s="92">
        <f t="shared" si="3"/>
        <v>1.0248811873335031E-2</v>
      </c>
      <c r="F37" s="8" t="e">
        <f>#REF!</f>
        <v>#REF!</v>
      </c>
      <c r="H37" s="180" t="e">
        <f>IF(F37&lt;Floors!$E$4,Floors!$E$4, "-")</f>
        <v>#REF!</v>
      </c>
      <c r="I37" s="65" t="e">
        <f t="shared" si="4"/>
        <v>#REF!</v>
      </c>
      <c r="J37" s="177" t="e">
        <f>IF(I37="Y",VLOOKUP(B37,#REF!,2,FALSE)*1.1,"N/A ")</f>
        <v>#REF!</v>
      </c>
      <c r="K37" s="177" t="e">
        <f t="shared" si="0"/>
        <v>#REF!</v>
      </c>
      <c r="M37" s="177" t="e">
        <f t="shared" si="5"/>
        <v>#REF!</v>
      </c>
      <c r="N37" s="167" t="e">
        <f t="shared" si="1"/>
        <v>#REF!</v>
      </c>
      <c r="O37" s="165" t="e">
        <f t="shared" si="2"/>
        <v>#REF!</v>
      </c>
      <c r="P37" s="167" t="e">
        <f t="shared" si="11"/>
        <v>#REF!</v>
      </c>
      <c r="Q37" s="167" t="e">
        <f t="shared" si="6"/>
        <v>#REF!</v>
      </c>
      <c r="R37" s="168" t="e">
        <f t="shared" si="8"/>
        <v>#REF!</v>
      </c>
      <c r="S37" s="167" t="e">
        <f t="shared" si="9"/>
        <v>#REF!</v>
      </c>
      <c r="T37" s="167" t="e">
        <f t="shared" si="10"/>
        <v>#REF!</v>
      </c>
    </row>
    <row r="38" spans="1:20" ht="16.5" customHeight="1" x14ac:dyDescent="0.25">
      <c r="A38" s="65">
        <v>1</v>
      </c>
      <c r="B38" s="66" t="s">
        <v>15</v>
      </c>
      <c r="D38" s="174">
        <f>VLOOKUP(B38,'WF Need'!$B$7:$AB$64,27, FALSE)</f>
        <v>2004526.1664806334</v>
      </c>
      <c r="E38" s="92">
        <f t="shared" si="3"/>
        <v>6.700829630293505E-4</v>
      </c>
      <c r="F38" s="8" t="e">
        <f>#REF!</f>
        <v>#REF!</v>
      </c>
      <c r="H38" s="180" t="e">
        <f>IF(F38&lt;Floors!$E$4,Floors!$E$4, "-")</f>
        <v>#REF!</v>
      </c>
      <c r="I38" s="65" t="e">
        <f t="shared" si="4"/>
        <v>#REF!</v>
      </c>
      <c r="J38" s="177" t="e">
        <f>IF(I38="Y",VLOOKUP(B38,#REF!,2,FALSE)*1.1,"N/A ")</f>
        <v>#REF!</v>
      </c>
      <c r="K38" s="177" t="e">
        <f t="shared" si="0"/>
        <v>#REF!</v>
      </c>
      <c r="M38" s="177" t="e">
        <f t="shared" si="5"/>
        <v>#REF!</v>
      </c>
      <c r="N38" s="167" t="e">
        <f t="shared" si="1"/>
        <v>#REF!</v>
      </c>
      <c r="O38" s="167" t="e">
        <f t="shared" si="2"/>
        <v>#REF!</v>
      </c>
      <c r="P38" s="167" t="e">
        <f t="shared" si="11"/>
        <v>#REF!</v>
      </c>
      <c r="Q38" s="167" t="e">
        <f t="shared" si="6"/>
        <v>#REF!</v>
      </c>
      <c r="R38" s="168" t="e">
        <f t="shared" si="8"/>
        <v>#REF!</v>
      </c>
      <c r="S38" s="167" t="e">
        <f t="shared" si="9"/>
        <v>#REF!</v>
      </c>
      <c r="T38" s="167" t="e">
        <f t="shared" si="10"/>
        <v>#REF!</v>
      </c>
    </row>
    <row r="39" spans="1:20" ht="16.5" customHeight="1" x14ac:dyDescent="0.25">
      <c r="A39" s="65">
        <v>4</v>
      </c>
      <c r="B39" s="66" t="s">
        <v>56</v>
      </c>
      <c r="D39" s="174">
        <f>VLOOKUP(B39,'WF Need'!$B$7:$AB$64,27, FALSE)</f>
        <v>173663360.91008201</v>
      </c>
      <c r="E39" s="92">
        <f t="shared" si="3"/>
        <v>5.8053050837731497E-2</v>
      </c>
      <c r="F39" s="8" t="e">
        <f>#REF!</f>
        <v>#REF!</v>
      </c>
      <c r="H39" s="180" t="e">
        <f>IF(F39&lt;Floors!$E$4,Floors!$E$4, "-")</f>
        <v>#REF!</v>
      </c>
      <c r="I39" s="65" t="e">
        <f t="shared" si="4"/>
        <v>#REF!</v>
      </c>
      <c r="J39" s="177" t="e">
        <f>IF(I39="Y",VLOOKUP(B39,#REF!,2,FALSE)*1.1,"N/A ")</f>
        <v>#REF!</v>
      </c>
      <c r="K39" s="177" t="e">
        <f t="shared" si="0"/>
        <v>#REF!</v>
      </c>
      <c r="M39" s="177" t="e">
        <f t="shared" si="5"/>
        <v>#REF!</v>
      </c>
      <c r="N39" s="167" t="e">
        <f t="shared" si="1"/>
        <v>#REF!</v>
      </c>
      <c r="O39" s="165" t="e">
        <f t="shared" si="2"/>
        <v>#REF!</v>
      </c>
      <c r="P39" s="167" t="e">
        <f t="shared" si="11"/>
        <v>#REF!</v>
      </c>
      <c r="Q39" s="167" t="e">
        <f t="shared" si="6"/>
        <v>#REF!</v>
      </c>
      <c r="R39" s="168" t="e">
        <f t="shared" si="8"/>
        <v>#REF!</v>
      </c>
      <c r="S39" s="167" t="e">
        <f t="shared" si="9"/>
        <v>#REF!</v>
      </c>
      <c r="T39" s="167" t="e">
        <f t="shared" si="10"/>
        <v>#REF!</v>
      </c>
    </row>
    <row r="40" spans="1:20" ht="16.5" customHeight="1" x14ac:dyDescent="0.25">
      <c r="A40" s="65">
        <v>4</v>
      </c>
      <c r="B40" s="66" t="s">
        <v>57</v>
      </c>
      <c r="D40" s="174">
        <f>VLOOKUP(B40,'WF Need'!$B$7:$AB$64,27, FALSE)</f>
        <v>135509115.16032177</v>
      </c>
      <c r="E40" s="92">
        <f t="shared" si="3"/>
        <v>4.5298660063658076E-2</v>
      </c>
      <c r="F40" s="8" t="e">
        <f>#REF!</f>
        <v>#REF!</v>
      </c>
      <c r="H40" s="180" t="e">
        <f>IF(F40&lt;Floors!$E$4,Floors!$E$4, "-")</f>
        <v>#REF!</v>
      </c>
      <c r="I40" s="65" t="e">
        <f t="shared" si="4"/>
        <v>#REF!</v>
      </c>
      <c r="J40" s="177" t="e">
        <f>IF(I40="Y",VLOOKUP(B40,#REF!,2,FALSE)*1.1,"N/A ")</f>
        <v>#REF!</v>
      </c>
      <c r="K40" s="177" t="e">
        <f t="shared" si="0"/>
        <v>#REF!</v>
      </c>
      <c r="M40" s="177" t="e">
        <f t="shared" si="5"/>
        <v>#REF!</v>
      </c>
      <c r="N40" s="167" t="e">
        <f t="shared" si="1"/>
        <v>#REF!</v>
      </c>
      <c r="O40" s="165" t="e">
        <f t="shared" si="2"/>
        <v>#REF!</v>
      </c>
      <c r="P40" s="167" t="e">
        <f t="shared" si="11"/>
        <v>#REF!</v>
      </c>
      <c r="Q40" s="167" t="e">
        <f t="shared" si="6"/>
        <v>#REF!</v>
      </c>
      <c r="R40" s="168" t="e">
        <f t="shared" si="8"/>
        <v>#REF!</v>
      </c>
      <c r="S40" s="167" t="e">
        <f t="shared" si="9"/>
        <v>#REF!</v>
      </c>
      <c r="T40" s="167" t="e">
        <f t="shared" si="10"/>
        <v>#REF!</v>
      </c>
    </row>
    <row r="41" spans="1:20" ht="16.5" customHeight="1" x14ac:dyDescent="0.25">
      <c r="A41" s="65">
        <v>1</v>
      </c>
      <c r="B41" s="66" t="s">
        <v>16</v>
      </c>
      <c r="D41" s="174">
        <f>VLOOKUP(B41,'WF Need'!$B$7:$AB$64,27, FALSE)</f>
        <v>5017536.2030644193</v>
      </c>
      <c r="E41" s="92">
        <f t="shared" si="3"/>
        <v>1.677286923103344E-3</v>
      </c>
      <c r="F41" s="8" t="e">
        <f>#REF!</f>
        <v>#REF!</v>
      </c>
      <c r="H41" s="180" t="e">
        <f>IF(F41&lt;Floors!$E$4,Floors!$E$4, "-")</f>
        <v>#REF!</v>
      </c>
      <c r="I41" s="65" t="e">
        <f t="shared" si="4"/>
        <v>#REF!</v>
      </c>
      <c r="J41" s="177" t="e">
        <f>IF(I41="Y",VLOOKUP(B41,#REF!,2,FALSE)*1.1,"N/A ")</f>
        <v>#REF!</v>
      </c>
      <c r="K41" s="177" t="e">
        <f t="shared" si="0"/>
        <v>#REF!</v>
      </c>
      <c r="M41" s="177" t="e">
        <f t="shared" si="5"/>
        <v>#REF!</v>
      </c>
      <c r="N41" s="167" t="e">
        <f t="shared" si="1"/>
        <v>#REF!</v>
      </c>
      <c r="O41" s="165" t="e">
        <f t="shared" si="2"/>
        <v>#REF!</v>
      </c>
      <c r="P41" s="167" t="e">
        <f t="shared" si="11"/>
        <v>#REF!</v>
      </c>
      <c r="Q41" s="167" t="e">
        <f t="shared" si="6"/>
        <v>#REF!</v>
      </c>
      <c r="R41" s="168" t="e">
        <f t="shared" si="8"/>
        <v>#REF!</v>
      </c>
      <c r="S41" s="167" t="e">
        <f t="shared" si="9"/>
        <v>#REF!</v>
      </c>
      <c r="T41" s="167" t="e">
        <f t="shared" si="10"/>
        <v>#REF!</v>
      </c>
    </row>
    <row r="42" spans="1:20" ht="16.5" customHeight="1" x14ac:dyDescent="0.25">
      <c r="A42" s="65">
        <v>4</v>
      </c>
      <c r="B42" s="66" t="s">
        <v>58</v>
      </c>
      <c r="D42" s="174">
        <f>VLOOKUP(B42,'WF Need'!$B$7:$AB$64,27, FALSE)</f>
        <v>171870208.82230166</v>
      </c>
      <c r="E42" s="92">
        <f t="shared" si="3"/>
        <v>5.7453627051584709E-2</v>
      </c>
      <c r="F42" s="8" t="e">
        <f>#REF!</f>
        <v>#REF!</v>
      </c>
      <c r="H42" s="180" t="e">
        <f>IF(F42&lt;Floors!$E$4,Floors!$E$4, "-")</f>
        <v>#REF!</v>
      </c>
      <c r="I42" s="65" t="e">
        <f t="shared" si="4"/>
        <v>#REF!</v>
      </c>
      <c r="J42" s="177" t="e">
        <f>IF(I42="Y",VLOOKUP(B42,#REF!,2,FALSE)*1.1,"N/A ")</f>
        <v>#REF!</v>
      </c>
      <c r="K42" s="177" t="e">
        <f t="shared" si="0"/>
        <v>#REF!</v>
      </c>
      <c r="M42" s="177" t="e">
        <f t="shared" si="5"/>
        <v>#REF!</v>
      </c>
      <c r="N42" s="167" t="e">
        <f t="shared" si="1"/>
        <v>#REF!</v>
      </c>
      <c r="O42" s="165" t="e">
        <f t="shared" si="2"/>
        <v>#REF!</v>
      </c>
      <c r="P42" s="167" t="e">
        <f>IF(M42="n/a",(IF(AND(H42=750000,(F42&gt;750000)), H42-F42, 0)),M42-F42)</f>
        <v>#REF!</v>
      </c>
      <c r="Q42" s="167" t="e">
        <f t="shared" si="6"/>
        <v>#REF!</v>
      </c>
      <c r="R42" s="168" t="e">
        <f t="shared" si="8"/>
        <v>#REF!</v>
      </c>
      <c r="S42" s="167" t="e">
        <f t="shared" si="9"/>
        <v>#REF!</v>
      </c>
      <c r="T42" s="167" t="e">
        <f t="shared" si="10"/>
        <v>#REF!</v>
      </c>
    </row>
    <row r="43" spans="1:20" ht="16.5" customHeight="1" x14ac:dyDescent="0.25">
      <c r="A43" s="65">
        <v>4</v>
      </c>
      <c r="B43" s="66" t="s">
        <v>59</v>
      </c>
      <c r="D43" s="174">
        <f>VLOOKUP(B43,'WF Need'!$B$7:$AB$64,27, FALSE)</f>
        <v>209284736.12067235</v>
      </c>
      <c r="E43" s="92">
        <f t="shared" si="3"/>
        <v>6.9960741067687515E-2</v>
      </c>
      <c r="F43" s="8" t="e">
        <f>#REF!</f>
        <v>#REF!</v>
      </c>
      <c r="H43" s="180" t="e">
        <f>IF(F43&lt;Floors!$E$4,Floors!$E$4, "-")</f>
        <v>#REF!</v>
      </c>
      <c r="I43" s="65" t="e">
        <f t="shared" si="4"/>
        <v>#REF!</v>
      </c>
      <c r="J43" s="177" t="e">
        <f>IF(I43="Y",VLOOKUP(B43,#REF!,2,FALSE)*1.1,"N/A ")</f>
        <v>#REF!</v>
      </c>
      <c r="K43" s="177" t="e">
        <f t="shared" si="0"/>
        <v>#REF!</v>
      </c>
      <c r="M43" s="177" t="e">
        <f t="shared" si="5"/>
        <v>#REF!</v>
      </c>
      <c r="N43" s="167" t="e">
        <f t="shared" si="1"/>
        <v>#REF!</v>
      </c>
      <c r="O43" s="165" t="e">
        <f t="shared" si="2"/>
        <v>#REF!</v>
      </c>
      <c r="P43" s="167" t="e">
        <f>IF(M43="n/a",(IF(AND(H43=750000,(F43&gt;750000)), H43-F43, 0)),M43-F43)</f>
        <v>#REF!</v>
      </c>
      <c r="Q43" s="167" t="e">
        <f t="shared" si="6"/>
        <v>#REF!</v>
      </c>
      <c r="R43" s="168" t="e">
        <f t="shared" si="8"/>
        <v>#REF!</v>
      </c>
      <c r="S43" s="167" t="e">
        <f t="shared" si="9"/>
        <v>#REF!</v>
      </c>
      <c r="T43" s="167" t="e">
        <f t="shared" si="10"/>
        <v>#REF!</v>
      </c>
    </row>
    <row r="44" spans="1:20" ht="16.5" customHeight="1" x14ac:dyDescent="0.25">
      <c r="A44" s="65">
        <v>4</v>
      </c>
      <c r="B44" s="66" t="s">
        <v>60</v>
      </c>
      <c r="D44" s="174">
        <f>VLOOKUP(B44,'WF Need'!$B$7:$AB$64,27, FALSE)</f>
        <v>66337381.154603153</v>
      </c>
      <c r="E44" s="92">
        <f t="shared" si="3"/>
        <v>2.2175589257449259E-2</v>
      </c>
      <c r="F44" s="8" t="e">
        <f>#REF!</f>
        <v>#REF!</v>
      </c>
      <c r="H44" s="180" t="e">
        <f>IF(F44&lt;Floors!$E$4,Floors!$E$4, "-")</f>
        <v>#REF!</v>
      </c>
      <c r="I44" s="65" t="e">
        <f t="shared" si="4"/>
        <v>#REF!</v>
      </c>
      <c r="J44" s="177" t="e">
        <f>IF(I44="Y",VLOOKUP(B44,#REF!,2,FALSE)*1.1,"N/A ")</f>
        <v>#REF!</v>
      </c>
      <c r="K44" s="177" t="e">
        <f t="shared" si="0"/>
        <v>#REF!</v>
      </c>
      <c r="M44" s="177" t="e">
        <f t="shared" si="5"/>
        <v>#REF!</v>
      </c>
      <c r="N44" s="167" t="e">
        <f t="shared" si="1"/>
        <v>#REF!</v>
      </c>
      <c r="O44" s="165" t="e">
        <f t="shared" si="2"/>
        <v>#REF!</v>
      </c>
      <c r="P44" s="167" t="e">
        <f t="shared" ref="P44:P54" si="12">IF(M44="n/a",(IF(AND(H44=750000,(F44&gt;750000)), H44-F44, 0)),M44-F44)</f>
        <v>#REF!</v>
      </c>
      <c r="Q44" s="167" t="e">
        <f t="shared" si="6"/>
        <v>#REF!</v>
      </c>
      <c r="R44" s="168" t="e">
        <f t="shared" si="8"/>
        <v>#REF!</v>
      </c>
      <c r="S44" s="167" t="e">
        <f t="shared" si="9"/>
        <v>#REF!</v>
      </c>
      <c r="T44" s="167" t="e">
        <f t="shared" si="10"/>
        <v>#REF!</v>
      </c>
    </row>
    <row r="45" spans="1:20" ht="16.5" customHeight="1" x14ac:dyDescent="0.25">
      <c r="A45" s="65">
        <v>3</v>
      </c>
      <c r="B45" s="66" t="s">
        <v>45</v>
      </c>
      <c r="D45" s="174">
        <f>VLOOKUP(B45,'WF Need'!$B$7:$AB$64,27, FALSE)</f>
        <v>59364538.243433565</v>
      </c>
      <c r="E45" s="92">
        <f t="shared" si="3"/>
        <v>1.9844672696325952E-2</v>
      </c>
      <c r="F45" s="8" t="e">
        <f>#REF!</f>
        <v>#REF!</v>
      </c>
      <c r="H45" s="180" t="e">
        <f>IF(F45&lt;Floors!$E$4,Floors!$E$4, "-")</f>
        <v>#REF!</v>
      </c>
      <c r="I45" s="65" t="e">
        <f t="shared" si="4"/>
        <v>#REF!</v>
      </c>
      <c r="J45" s="177" t="e">
        <f>IF(I45="Y",VLOOKUP(B45,#REF!,2,FALSE)*1.1,"N/A ")</f>
        <v>#REF!</v>
      </c>
      <c r="K45" s="177" t="e">
        <f t="shared" si="0"/>
        <v>#REF!</v>
      </c>
      <c r="M45" s="177" t="e">
        <f t="shared" si="5"/>
        <v>#REF!</v>
      </c>
      <c r="N45" s="167" t="e">
        <f t="shared" si="1"/>
        <v>#REF!</v>
      </c>
      <c r="O45" s="165" t="e">
        <f t="shared" si="2"/>
        <v>#REF!</v>
      </c>
      <c r="P45" s="167" t="e">
        <f t="shared" si="12"/>
        <v>#REF!</v>
      </c>
      <c r="Q45" s="167" t="e">
        <f t="shared" si="6"/>
        <v>#REF!</v>
      </c>
      <c r="R45" s="168" t="e">
        <f t="shared" si="8"/>
        <v>#REF!</v>
      </c>
      <c r="S45" s="167" t="e">
        <f t="shared" si="9"/>
        <v>#REF!</v>
      </c>
      <c r="T45" s="167" t="e">
        <f t="shared" si="10"/>
        <v>#REF!</v>
      </c>
    </row>
    <row r="46" spans="1:20" ht="16.5" customHeight="1" x14ac:dyDescent="0.25">
      <c r="A46" s="65">
        <v>2</v>
      </c>
      <c r="B46" s="66" t="s">
        <v>32</v>
      </c>
      <c r="D46" s="174">
        <f>VLOOKUP(B46,'WF Need'!$B$7:$AB$64,27, FALSE)</f>
        <v>22140369.945331417</v>
      </c>
      <c r="E46" s="92">
        <f t="shared" si="3"/>
        <v>7.4011928323096752E-3</v>
      </c>
      <c r="F46" s="8" t="e">
        <f>#REF!</f>
        <v>#REF!</v>
      </c>
      <c r="H46" s="180" t="e">
        <f>IF(F46&lt;Floors!$E$4,Floors!$E$4, "-")</f>
        <v>#REF!</v>
      </c>
      <c r="I46" s="65" t="e">
        <f t="shared" si="4"/>
        <v>#REF!</v>
      </c>
      <c r="J46" s="177" t="e">
        <f>IF(I46="Y",VLOOKUP(B46,#REF!,2,FALSE)*1.1,"N/A ")</f>
        <v>#REF!</v>
      </c>
      <c r="K46" s="177" t="e">
        <f t="shared" si="0"/>
        <v>#REF!</v>
      </c>
      <c r="M46" s="177" t="e">
        <f t="shared" si="5"/>
        <v>#REF!</v>
      </c>
      <c r="N46" s="167" t="e">
        <f t="shared" si="1"/>
        <v>#REF!</v>
      </c>
      <c r="O46" s="165" t="e">
        <f t="shared" si="2"/>
        <v>#REF!</v>
      </c>
      <c r="P46" s="167" t="e">
        <f t="shared" si="12"/>
        <v>#REF!</v>
      </c>
      <c r="Q46" s="167" t="e">
        <f t="shared" si="6"/>
        <v>#REF!</v>
      </c>
      <c r="R46" s="168" t="e">
        <f t="shared" si="8"/>
        <v>#REF!</v>
      </c>
      <c r="S46" s="167" t="e">
        <f t="shared" si="9"/>
        <v>#REF!</v>
      </c>
      <c r="T46" s="167" t="e">
        <f t="shared" si="10"/>
        <v>#REF!</v>
      </c>
    </row>
    <row r="47" spans="1:20" ht="16.5" customHeight="1" x14ac:dyDescent="0.25">
      <c r="A47" s="65">
        <v>3</v>
      </c>
      <c r="B47" s="66" t="s">
        <v>46</v>
      </c>
      <c r="D47" s="174">
        <f>VLOOKUP(B47,'WF Need'!$B$7:$AB$64,27, FALSE)</f>
        <v>55569237.369320676</v>
      </c>
      <c r="E47" s="92">
        <f t="shared" si="3"/>
        <v>1.8575960669593716E-2</v>
      </c>
      <c r="F47" s="8" t="e">
        <f>#REF!</f>
        <v>#REF!</v>
      </c>
      <c r="H47" s="180" t="e">
        <f>IF(F47&lt;Floors!$E$4,Floors!$E$4, "-")</f>
        <v>#REF!</v>
      </c>
      <c r="I47" s="65" t="e">
        <f t="shared" si="4"/>
        <v>#REF!</v>
      </c>
      <c r="J47" s="177" t="e">
        <f>IF(I47="Y",VLOOKUP(B47,#REF!,2,FALSE)*1.1,"N/A ")</f>
        <v>#REF!</v>
      </c>
      <c r="K47" s="177" t="e">
        <f t="shared" si="0"/>
        <v>#REF!</v>
      </c>
      <c r="M47" s="177" t="e">
        <f t="shared" si="5"/>
        <v>#REF!</v>
      </c>
      <c r="N47" s="167" t="e">
        <f t="shared" si="1"/>
        <v>#REF!</v>
      </c>
      <c r="O47" s="165" t="e">
        <f t="shared" si="2"/>
        <v>#REF!</v>
      </c>
      <c r="P47" s="167" t="e">
        <f t="shared" si="12"/>
        <v>#REF!</v>
      </c>
      <c r="Q47" s="167" t="e">
        <f t="shared" si="6"/>
        <v>#REF!</v>
      </c>
      <c r="R47" s="168" t="e">
        <f t="shared" si="8"/>
        <v>#REF!</v>
      </c>
      <c r="S47" s="167" t="e">
        <f t="shared" si="9"/>
        <v>#REF!</v>
      </c>
      <c r="T47" s="167" t="e">
        <f t="shared" si="10"/>
        <v>#REF!</v>
      </c>
    </row>
    <row r="48" spans="1:20" ht="16.5" customHeight="1" x14ac:dyDescent="0.25">
      <c r="A48" s="65">
        <v>3</v>
      </c>
      <c r="B48" s="66" t="s">
        <v>47</v>
      </c>
      <c r="D48" s="174">
        <f>VLOOKUP(B48,'WF Need'!$B$7:$AB$64,27, FALSE)</f>
        <v>32795370.98118227</v>
      </c>
      <c r="E48" s="92">
        <f t="shared" si="3"/>
        <v>1.0962999499926811E-2</v>
      </c>
      <c r="F48" s="8" t="e">
        <f>#REF!</f>
        <v>#REF!</v>
      </c>
      <c r="H48" s="180" t="e">
        <f>IF(F48&lt;Floors!$E$4,Floors!$E$4, "-")</f>
        <v>#REF!</v>
      </c>
      <c r="I48" s="65" t="e">
        <f t="shared" si="4"/>
        <v>#REF!</v>
      </c>
      <c r="J48" s="177" t="e">
        <f>IF(I48="Y",VLOOKUP(B48,#REF!,2,FALSE)*1.1,"N/A ")</f>
        <v>#REF!</v>
      </c>
      <c r="K48" s="177" t="e">
        <f t="shared" si="0"/>
        <v>#REF!</v>
      </c>
      <c r="M48" s="177" t="e">
        <f t="shared" si="5"/>
        <v>#REF!</v>
      </c>
      <c r="N48" s="167" t="e">
        <f t="shared" si="1"/>
        <v>#REF!</v>
      </c>
      <c r="O48" s="165" t="e">
        <f t="shared" si="2"/>
        <v>#REF!</v>
      </c>
      <c r="P48" s="167" t="e">
        <f t="shared" si="12"/>
        <v>#REF!</v>
      </c>
      <c r="Q48" s="167" t="e">
        <f t="shared" si="6"/>
        <v>#REF!</v>
      </c>
      <c r="R48" s="168" t="e">
        <f t="shared" si="8"/>
        <v>#REF!</v>
      </c>
      <c r="S48" s="167" t="e">
        <f t="shared" si="9"/>
        <v>#REF!</v>
      </c>
      <c r="T48" s="167" t="e">
        <f t="shared" si="10"/>
        <v>#REF!</v>
      </c>
    </row>
    <row r="49" spans="1:20" ht="16.5" customHeight="1" x14ac:dyDescent="0.25">
      <c r="A49" s="65">
        <v>4</v>
      </c>
      <c r="B49" s="66" t="s">
        <v>61</v>
      </c>
      <c r="D49" s="174">
        <f>VLOOKUP(B49,'WF Need'!$B$7:$AB$64,27, FALSE)</f>
        <v>111142739.06142092</v>
      </c>
      <c r="E49" s="92">
        <f t="shared" si="3"/>
        <v>3.715334683818626E-2</v>
      </c>
      <c r="F49" s="8" t="e">
        <f>#REF!</f>
        <v>#REF!</v>
      </c>
      <c r="H49" s="180" t="e">
        <f>IF(F49&lt;Floors!$E$4,Floors!$E$4, "-")</f>
        <v>#REF!</v>
      </c>
      <c r="I49" s="65" t="e">
        <f t="shared" si="4"/>
        <v>#REF!</v>
      </c>
      <c r="J49" s="177" t="e">
        <f>IF(I49="Y",VLOOKUP(B49,#REF!,2,FALSE)*1.1,"N/A ")</f>
        <v>#REF!</v>
      </c>
      <c r="K49" s="177" t="e">
        <f t="shared" si="0"/>
        <v>#REF!</v>
      </c>
      <c r="M49" s="177" t="e">
        <f t="shared" si="5"/>
        <v>#REF!</v>
      </c>
      <c r="N49" s="167" t="e">
        <f t="shared" si="1"/>
        <v>#REF!</v>
      </c>
      <c r="O49" s="165" t="e">
        <f t="shared" si="2"/>
        <v>#REF!</v>
      </c>
      <c r="P49" s="167" t="e">
        <f t="shared" si="12"/>
        <v>#REF!</v>
      </c>
      <c r="Q49" s="167" t="e">
        <f t="shared" si="6"/>
        <v>#REF!</v>
      </c>
      <c r="R49" s="168" t="e">
        <f t="shared" si="8"/>
        <v>#REF!</v>
      </c>
      <c r="S49" s="167" t="e">
        <f t="shared" si="9"/>
        <v>#REF!</v>
      </c>
      <c r="T49" s="167" t="e">
        <f t="shared" si="10"/>
        <v>#REF!</v>
      </c>
    </row>
    <row r="50" spans="1:20" ht="16.5" customHeight="1" x14ac:dyDescent="0.25">
      <c r="A50" s="65">
        <v>2</v>
      </c>
      <c r="B50" s="66" t="s">
        <v>33</v>
      </c>
      <c r="D50" s="174">
        <f>VLOOKUP(B50,'WF Need'!$B$7:$AB$64,27, FALSE)</f>
        <v>18753967.737158284</v>
      </c>
      <c r="E50" s="92">
        <f t="shared" si="3"/>
        <v>6.2691694825492712E-3</v>
      </c>
      <c r="F50" s="8" t="e">
        <f>#REF!</f>
        <v>#REF!</v>
      </c>
      <c r="H50" s="180" t="e">
        <f>IF(F50&lt;Floors!$E$4,Floors!$E$4, "-")</f>
        <v>#REF!</v>
      </c>
      <c r="I50" s="65" t="e">
        <f t="shared" si="4"/>
        <v>#REF!</v>
      </c>
      <c r="J50" s="177" t="e">
        <f>IF(I50="Y",VLOOKUP(B50,#REF!,2,FALSE)*1.1,"N/A ")</f>
        <v>#REF!</v>
      </c>
      <c r="K50" s="177" t="e">
        <f t="shared" si="0"/>
        <v>#REF!</v>
      </c>
      <c r="M50" s="177" t="e">
        <f t="shared" si="5"/>
        <v>#REF!</v>
      </c>
      <c r="N50" s="167" t="e">
        <f t="shared" si="1"/>
        <v>#REF!</v>
      </c>
      <c r="O50" s="165" t="e">
        <f t="shared" si="2"/>
        <v>#REF!</v>
      </c>
      <c r="P50" s="167" t="e">
        <f t="shared" si="12"/>
        <v>#REF!</v>
      </c>
      <c r="Q50" s="167" t="e">
        <f t="shared" si="6"/>
        <v>#REF!</v>
      </c>
      <c r="R50" s="168" t="e">
        <f t="shared" si="8"/>
        <v>#REF!</v>
      </c>
      <c r="S50" s="167" t="e">
        <f t="shared" si="9"/>
        <v>#REF!</v>
      </c>
      <c r="T50" s="167" t="e">
        <f t="shared" si="10"/>
        <v>#REF!</v>
      </c>
    </row>
    <row r="51" spans="1:20" ht="16.5" customHeight="1" x14ac:dyDescent="0.25">
      <c r="A51" s="65">
        <v>2</v>
      </c>
      <c r="B51" s="66" t="s">
        <v>34</v>
      </c>
      <c r="D51" s="174">
        <f>VLOOKUP(B51,'WF Need'!$B$7:$AB$64,27, FALSE)</f>
        <v>20395958.054285835</v>
      </c>
      <c r="E51" s="92">
        <f t="shared" si="3"/>
        <v>6.8180621612106262E-3</v>
      </c>
      <c r="F51" s="8" t="e">
        <f>#REF!</f>
        <v>#REF!</v>
      </c>
      <c r="H51" s="180" t="e">
        <f>IF(F51&lt;Floors!$E$4,Floors!$E$4, "-")</f>
        <v>#REF!</v>
      </c>
      <c r="I51" s="65" t="e">
        <f t="shared" si="4"/>
        <v>#REF!</v>
      </c>
      <c r="J51" s="177" t="e">
        <f>IF(I51="Y",VLOOKUP(B51,#REF!,2,FALSE)*1.1,"N/A ")</f>
        <v>#REF!</v>
      </c>
      <c r="K51" s="177" t="e">
        <f t="shared" si="0"/>
        <v>#REF!</v>
      </c>
      <c r="M51" s="177" t="e">
        <f t="shared" si="5"/>
        <v>#REF!</v>
      </c>
      <c r="N51" s="167" t="e">
        <f t="shared" si="1"/>
        <v>#REF!</v>
      </c>
      <c r="O51" s="165" t="e">
        <f t="shared" si="2"/>
        <v>#REF!</v>
      </c>
      <c r="P51" s="167" t="e">
        <f t="shared" si="12"/>
        <v>#REF!</v>
      </c>
      <c r="Q51" s="167" t="e">
        <f t="shared" si="6"/>
        <v>#REF!</v>
      </c>
      <c r="R51" s="168" t="e">
        <f t="shared" si="8"/>
        <v>#REF!</v>
      </c>
      <c r="S51" s="167" t="e">
        <f t="shared" si="9"/>
        <v>#REF!</v>
      </c>
      <c r="T51" s="167" t="e">
        <f t="shared" si="10"/>
        <v>#REF!</v>
      </c>
    </row>
    <row r="52" spans="1:20" ht="16.5" customHeight="1" x14ac:dyDescent="0.25">
      <c r="A52" s="65">
        <v>1</v>
      </c>
      <c r="B52" s="66" t="s">
        <v>17</v>
      </c>
      <c r="D52" s="174">
        <f>VLOOKUP(B52,'WF Need'!$B$7:$AB$64,27, FALSE)</f>
        <v>723742.64173538121</v>
      </c>
      <c r="E52" s="92">
        <f t="shared" si="3"/>
        <v>2.4193628497062546E-4</v>
      </c>
      <c r="F52" s="8" t="e">
        <f>#REF!</f>
        <v>#REF!</v>
      </c>
      <c r="H52" s="180" t="e">
        <f>IF(F52&lt;Floors!$E$4,Floors!$E$4, "-")</f>
        <v>#REF!</v>
      </c>
      <c r="I52" s="65" t="e">
        <f t="shared" si="4"/>
        <v>#REF!</v>
      </c>
      <c r="J52" s="177" t="e">
        <f>IF(I52="Y",VLOOKUP(B52,#REF!,2,FALSE)*1.1,"N/A ")</f>
        <v>#REF!</v>
      </c>
      <c r="K52" s="177" t="e">
        <f>IF(I52="Y",F52, "N/A ")</f>
        <v>#REF!</v>
      </c>
      <c r="M52" s="178" t="e">
        <f t="shared" si="5"/>
        <v>#REF!</v>
      </c>
      <c r="N52" s="167" t="e">
        <f t="shared" si="1"/>
        <v>#REF!</v>
      </c>
      <c r="O52" s="167" t="e">
        <f t="shared" si="2"/>
        <v>#REF!</v>
      </c>
      <c r="P52" s="167" t="e">
        <f t="shared" si="12"/>
        <v>#REF!</v>
      </c>
      <c r="Q52" s="167" t="e">
        <f t="shared" si="6"/>
        <v>#REF!</v>
      </c>
      <c r="R52" s="168" t="e">
        <f t="shared" si="8"/>
        <v>#REF!</v>
      </c>
      <c r="S52" s="167" t="e">
        <f t="shared" si="9"/>
        <v>#REF!</v>
      </c>
      <c r="T52" s="167" t="e">
        <f t="shared" si="10"/>
        <v>#REF!</v>
      </c>
    </row>
    <row r="53" spans="1:20" ht="16.5" customHeight="1" x14ac:dyDescent="0.25">
      <c r="A53" s="65">
        <v>2</v>
      </c>
      <c r="B53" s="66" t="s">
        <v>35</v>
      </c>
      <c r="D53" s="174">
        <f>VLOOKUP(B53,'WF Need'!$B$7:$AB$64,27, FALSE)</f>
        <v>5361696.2207323238</v>
      </c>
      <c r="E53" s="92">
        <f t="shared" si="3"/>
        <v>1.7923344431863756E-3</v>
      </c>
      <c r="F53" s="8" t="e">
        <f>#REF!</f>
        <v>#REF!</v>
      </c>
      <c r="H53" s="180" t="e">
        <f>IF(F53&lt;Floors!$E$4,Floors!$E$4, "-")</f>
        <v>#REF!</v>
      </c>
      <c r="I53" s="65" t="e">
        <f t="shared" si="4"/>
        <v>#REF!</v>
      </c>
      <c r="J53" s="177" t="e">
        <f>IF(I53="Y",VLOOKUP(B53,#REF!,2,FALSE)*1.1,"N/A ")</f>
        <v>#REF!</v>
      </c>
      <c r="K53" s="177" t="e">
        <f t="shared" si="0"/>
        <v>#REF!</v>
      </c>
      <c r="M53" s="177" t="e">
        <f t="shared" si="5"/>
        <v>#REF!</v>
      </c>
      <c r="N53" s="167" t="e">
        <f t="shared" si="1"/>
        <v>#REF!</v>
      </c>
      <c r="O53" s="165" t="e">
        <f t="shared" si="2"/>
        <v>#REF!</v>
      </c>
      <c r="P53" s="167" t="e">
        <f t="shared" si="12"/>
        <v>#REF!</v>
      </c>
      <c r="Q53" s="167" t="e">
        <f t="shared" si="6"/>
        <v>#REF!</v>
      </c>
      <c r="R53" s="168" t="e">
        <f t="shared" si="8"/>
        <v>#REF!</v>
      </c>
      <c r="S53" s="167" t="e">
        <f t="shared" si="9"/>
        <v>#REF!</v>
      </c>
      <c r="T53" s="167" t="e">
        <f t="shared" si="10"/>
        <v>#REF!</v>
      </c>
    </row>
    <row r="54" spans="1:20" ht="16.5" customHeight="1" x14ac:dyDescent="0.25">
      <c r="A54" s="65">
        <v>3</v>
      </c>
      <c r="B54" s="66" t="s">
        <v>48</v>
      </c>
      <c r="D54" s="174">
        <f>VLOOKUP(B54,'WF Need'!$B$7:$AB$64,27, FALSE)</f>
        <v>34597880.516128227</v>
      </c>
      <c r="E54" s="92">
        <f t="shared" si="3"/>
        <v>1.1565551339988768E-2</v>
      </c>
      <c r="F54" s="8" t="e">
        <f>#REF!</f>
        <v>#REF!</v>
      </c>
      <c r="H54" s="180" t="e">
        <f>IF(F54&lt;Floors!$E$4,Floors!$E$4, "-")</f>
        <v>#REF!</v>
      </c>
      <c r="I54" s="65" t="e">
        <f t="shared" si="4"/>
        <v>#REF!</v>
      </c>
      <c r="J54" s="177" t="e">
        <f>IF(I54="Y",VLOOKUP(B54,#REF!,2,FALSE)*1.1,"N/A ")</f>
        <v>#REF!</v>
      </c>
      <c r="K54" s="177" t="e">
        <f t="shared" si="0"/>
        <v>#REF!</v>
      </c>
      <c r="M54" s="177" t="e">
        <f t="shared" si="5"/>
        <v>#REF!</v>
      </c>
      <c r="N54" s="167" t="e">
        <f t="shared" si="1"/>
        <v>#REF!</v>
      </c>
      <c r="O54" s="165" t="e">
        <f t="shared" si="2"/>
        <v>#REF!</v>
      </c>
      <c r="P54" s="167" t="e">
        <f t="shared" si="12"/>
        <v>#REF!</v>
      </c>
      <c r="Q54" s="167" t="e">
        <f t="shared" si="6"/>
        <v>#REF!</v>
      </c>
      <c r="R54" s="168" t="e">
        <f t="shared" si="8"/>
        <v>#REF!</v>
      </c>
      <c r="S54" s="167" t="e">
        <f t="shared" si="9"/>
        <v>#REF!</v>
      </c>
      <c r="T54" s="167" t="e">
        <f t="shared" si="10"/>
        <v>#REF!</v>
      </c>
    </row>
    <row r="55" spans="1:20" ht="16.5" customHeight="1" x14ac:dyDescent="0.25">
      <c r="A55" s="65">
        <v>3</v>
      </c>
      <c r="B55" s="66" t="s">
        <v>49</v>
      </c>
      <c r="D55" s="174">
        <f>VLOOKUP(B55,'WF Need'!$B$7:$AB$64,27, FALSE)</f>
        <v>34423117.153200328</v>
      </c>
      <c r="E55" s="92">
        <f t="shared" si="3"/>
        <v>1.1507130575013021E-2</v>
      </c>
      <c r="F55" s="8" t="e">
        <f>#REF!</f>
        <v>#REF!</v>
      </c>
      <c r="H55" s="180" t="e">
        <f>IF(F55&lt;Floors!$E$4,Floors!$E$4, "-")</f>
        <v>#REF!</v>
      </c>
      <c r="I55" s="65" t="e">
        <f t="shared" si="4"/>
        <v>#REF!</v>
      </c>
      <c r="J55" s="177" t="e">
        <f>IF(I55="Y",VLOOKUP(B55,#REF!,2,FALSE)*1.1,"N/A ")</f>
        <v>#REF!</v>
      </c>
      <c r="K55" s="177" t="e">
        <f t="shared" si="0"/>
        <v>#REF!</v>
      </c>
      <c r="M55" s="177" t="e">
        <f t="shared" si="5"/>
        <v>#REF!</v>
      </c>
      <c r="N55" s="167" t="e">
        <f t="shared" si="1"/>
        <v>#REF!</v>
      </c>
      <c r="O55" s="165" t="e">
        <f t="shared" si="2"/>
        <v>#REF!</v>
      </c>
      <c r="P55" s="167" t="e">
        <f>IF(M55="n/a",(IF(AND(H55=750000,(F55&gt;750000)), H55-F55, 0)),M55-F55)</f>
        <v>#REF!</v>
      </c>
      <c r="Q55" s="167" t="e">
        <f t="shared" si="6"/>
        <v>#REF!</v>
      </c>
      <c r="R55" s="168" t="e">
        <f t="shared" si="8"/>
        <v>#REF!</v>
      </c>
      <c r="S55" s="167" t="e">
        <f t="shared" si="9"/>
        <v>#REF!</v>
      </c>
      <c r="T55" s="167" t="e">
        <f t="shared" si="10"/>
        <v>#REF!</v>
      </c>
    </row>
    <row r="56" spans="1:20" ht="16.5" customHeight="1" x14ac:dyDescent="0.25">
      <c r="A56" s="65">
        <v>3</v>
      </c>
      <c r="B56" s="66" t="s">
        <v>50</v>
      </c>
      <c r="D56" s="174">
        <f>VLOOKUP(B56,'WF Need'!$B$7:$AB$64,27, FALSE)</f>
        <v>42870299.432056472</v>
      </c>
      <c r="E56" s="92">
        <f t="shared" si="3"/>
        <v>1.4330896622728333E-2</v>
      </c>
      <c r="F56" s="8" t="e">
        <f>#REF!</f>
        <v>#REF!</v>
      </c>
      <c r="H56" s="180" t="e">
        <f>IF(F56&lt;Floors!$E$4,Floors!$E$4, "-")</f>
        <v>#REF!</v>
      </c>
      <c r="I56" s="65" t="e">
        <f t="shared" si="4"/>
        <v>#REF!</v>
      </c>
      <c r="J56" s="177" t="e">
        <f>IF(I56="Y",VLOOKUP(B56,#REF!,2,FALSE)*1.1,"N/A ")</f>
        <v>#REF!</v>
      </c>
      <c r="K56" s="177" t="e">
        <f t="shared" si="0"/>
        <v>#REF!</v>
      </c>
      <c r="M56" s="177" t="e">
        <f t="shared" si="5"/>
        <v>#REF!</v>
      </c>
      <c r="N56" s="167" t="e">
        <f t="shared" si="1"/>
        <v>#REF!</v>
      </c>
      <c r="O56" s="165" t="e">
        <f t="shared" si="2"/>
        <v>#REF!</v>
      </c>
      <c r="P56" s="167" t="e">
        <f>IF(M56="n/a",(IF(AND(H56=750000,(F56&gt;750000)), H56-F56, 0)),M56-F56)</f>
        <v>#REF!</v>
      </c>
      <c r="Q56" s="167" t="e">
        <f t="shared" si="6"/>
        <v>#REF!</v>
      </c>
      <c r="R56" s="168" t="e">
        <f t="shared" si="8"/>
        <v>#REF!</v>
      </c>
      <c r="S56" s="167" t="e">
        <f t="shared" si="9"/>
        <v>#REF!</v>
      </c>
      <c r="T56" s="167" t="e">
        <f t="shared" si="10"/>
        <v>#REF!</v>
      </c>
    </row>
    <row r="57" spans="1:20" ht="16.5" customHeight="1" x14ac:dyDescent="0.25">
      <c r="A57" s="65">
        <v>2</v>
      </c>
      <c r="B57" s="66" t="s">
        <v>36</v>
      </c>
      <c r="D57" s="174">
        <f>VLOOKUP(B57,'WF Need'!$B$7:$AB$64,27, FALSE)</f>
        <v>10543010.530284362</v>
      </c>
      <c r="E57" s="92">
        <f t="shared" si="3"/>
        <v>3.5243699251809413E-3</v>
      </c>
      <c r="F57" s="8" t="e">
        <f>#REF!</f>
        <v>#REF!</v>
      </c>
      <c r="H57" s="180" t="e">
        <f>IF(F57&lt;Floors!$E$4,Floors!$E$4, "-")</f>
        <v>#REF!</v>
      </c>
      <c r="I57" s="65" t="e">
        <f t="shared" si="4"/>
        <v>#REF!</v>
      </c>
      <c r="J57" s="177" t="e">
        <f>IF(I57="Y",VLOOKUP(B57,#REF!,2,FALSE)*1.1,"N/A ")</f>
        <v>#REF!</v>
      </c>
      <c r="K57" s="177" t="e">
        <f t="shared" si="0"/>
        <v>#REF!</v>
      </c>
      <c r="M57" s="177" t="e">
        <f t="shared" si="5"/>
        <v>#REF!</v>
      </c>
      <c r="N57" s="167" t="e">
        <f t="shared" si="1"/>
        <v>#REF!</v>
      </c>
      <c r="O57" s="165" t="e">
        <f t="shared" si="2"/>
        <v>#REF!</v>
      </c>
      <c r="P57" s="167" t="e">
        <f t="shared" ref="P57:P64" si="13">IF(M57="n/a",(IF(AND(H57=750000,(F57&gt;750000)), H57-F57, 0)),M57-F57)</f>
        <v>#REF!</v>
      </c>
      <c r="Q57" s="167" t="e">
        <f t="shared" si="6"/>
        <v>#REF!</v>
      </c>
      <c r="R57" s="168" t="e">
        <f t="shared" si="8"/>
        <v>#REF!</v>
      </c>
      <c r="S57" s="167" t="e">
        <f t="shared" si="9"/>
        <v>#REF!</v>
      </c>
      <c r="T57" s="167" t="e">
        <f t="shared" si="10"/>
        <v>#REF!</v>
      </c>
    </row>
    <row r="58" spans="1:20" ht="16.5" customHeight="1" x14ac:dyDescent="0.25">
      <c r="A58" s="65">
        <v>2</v>
      </c>
      <c r="B58" s="66" t="s">
        <v>37</v>
      </c>
      <c r="D58" s="174">
        <f>VLOOKUP(B58,'WF Need'!$B$7:$AB$64,27, FALSE)</f>
        <v>7072338.8991237497</v>
      </c>
      <c r="E58" s="92">
        <f t="shared" si="3"/>
        <v>2.3641765741541708E-3</v>
      </c>
      <c r="F58" s="8" t="e">
        <f>#REF!</f>
        <v>#REF!</v>
      </c>
      <c r="H58" s="180" t="e">
        <f>IF(F58&lt;Floors!$E$4,Floors!$E$4, "-")</f>
        <v>#REF!</v>
      </c>
      <c r="I58" s="65" t="e">
        <f t="shared" si="4"/>
        <v>#REF!</v>
      </c>
      <c r="J58" s="177" t="e">
        <f>IF(I58="Y",VLOOKUP(B58,#REF!,2,FALSE)*1.1,"N/A ")</f>
        <v>#REF!</v>
      </c>
      <c r="K58" s="177" t="e">
        <f t="shared" si="0"/>
        <v>#REF!</v>
      </c>
      <c r="M58" s="177" t="e">
        <f t="shared" si="5"/>
        <v>#REF!</v>
      </c>
      <c r="N58" s="167" t="e">
        <f t="shared" si="1"/>
        <v>#REF!</v>
      </c>
      <c r="O58" s="165" t="e">
        <f t="shared" si="2"/>
        <v>#REF!</v>
      </c>
      <c r="P58" s="167" t="e">
        <f t="shared" si="13"/>
        <v>#REF!</v>
      </c>
      <c r="Q58" s="167" t="e">
        <f t="shared" si="6"/>
        <v>#REF!</v>
      </c>
      <c r="R58" s="168" t="e">
        <f t="shared" si="8"/>
        <v>#REF!</v>
      </c>
      <c r="S58" s="167" t="e">
        <f t="shared" si="9"/>
        <v>#REF!</v>
      </c>
      <c r="T58" s="167" t="e">
        <f t="shared" si="10"/>
        <v>#REF!</v>
      </c>
    </row>
    <row r="59" spans="1:20" ht="16.5" customHeight="1" x14ac:dyDescent="0.25">
      <c r="A59" s="65">
        <v>1</v>
      </c>
      <c r="B59" s="66" t="s">
        <v>18</v>
      </c>
      <c r="D59" s="174">
        <f>VLOOKUP(B59,'WF Need'!$B$7:$AB$64,27, FALSE)</f>
        <v>2390643.5031867502</v>
      </c>
      <c r="E59" s="92">
        <f t="shared" si="3"/>
        <v>7.9915618411445716E-4</v>
      </c>
      <c r="F59" s="8" t="e">
        <f>#REF!</f>
        <v>#REF!</v>
      </c>
      <c r="H59" s="180" t="e">
        <f>IF(F59&lt;Floors!$E$4,Floors!$E$4, "-")</f>
        <v>#REF!</v>
      </c>
      <c r="I59" s="65" t="e">
        <f t="shared" si="4"/>
        <v>#REF!</v>
      </c>
      <c r="J59" s="177" t="e">
        <f>IF(I59="Y",VLOOKUP(B59,#REF!,2,FALSE)*1.1,"N/A ")</f>
        <v>#REF!</v>
      </c>
      <c r="K59" s="177" t="e">
        <f t="shared" si="0"/>
        <v>#REF!</v>
      </c>
      <c r="M59" s="177" t="e">
        <f t="shared" si="5"/>
        <v>#REF!</v>
      </c>
      <c r="N59" s="167" t="e">
        <f t="shared" si="1"/>
        <v>#REF!</v>
      </c>
      <c r="O59" s="167" t="e">
        <f t="shared" si="2"/>
        <v>#REF!</v>
      </c>
      <c r="P59" s="167" t="e">
        <f t="shared" si="13"/>
        <v>#REF!</v>
      </c>
      <c r="Q59" s="167" t="e">
        <f t="shared" si="6"/>
        <v>#REF!</v>
      </c>
      <c r="R59" s="168" t="e">
        <f t="shared" si="8"/>
        <v>#REF!</v>
      </c>
      <c r="S59" s="167" t="e">
        <f t="shared" si="9"/>
        <v>#REF!</v>
      </c>
      <c r="T59" s="167" t="e">
        <f t="shared" si="10"/>
        <v>#REF!</v>
      </c>
    </row>
    <row r="60" spans="1:20" ht="16.5" customHeight="1" x14ac:dyDescent="0.25">
      <c r="A60" s="65">
        <v>3</v>
      </c>
      <c r="B60" s="66" t="s">
        <v>51</v>
      </c>
      <c r="D60" s="174">
        <f>VLOOKUP(B60,'WF Need'!$B$7:$AB$64,27, FALSE)</f>
        <v>43083921.056762628</v>
      </c>
      <c r="E60" s="92">
        <f t="shared" si="3"/>
        <v>1.4402307120452873E-2</v>
      </c>
      <c r="F60" s="8" t="e">
        <f>#REF!</f>
        <v>#REF!</v>
      </c>
      <c r="H60" s="180" t="e">
        <f>IF(F60&lt;Floors!$E$4,Floors!$E$4, "-")</f>
        <v>#REF!</v>
      </c>
      <c r="I60" s="65" t="e">
        <f t="shared" si="4"/>
        <v>#REF!</v>
      </c>
      <c r="J60" s="177" t="e">
        <f>IF(I60="Y",VLOOKUP(B60,#REF!,2,FALSE)*1.1,"N/A ")</f>
        <v>#REF!</v>
      </c>
      <c r="K60" s="177" t="e">
        <f t="shared" si="0"/>
        <v>#REF!</v>
      </c>
      <c r="M60" s="177" t="e">
        <f t="shared" si="5"/>
        <v>#REF!</v>
      </c>
      <c r="N60" s="167" t="e">
        <f t="shared" si="1"/>
        <v>#REF!</v>
      </c>
      <c r="O60" s="165" t="e">
        <f t="shared" si="2"/>
        <v>#REF!</v>
      </c>
      <c r="P60" s="167" t="e">
        <f t="shared" si="13"/>
        <v>#REF!</v>
      </c>
      <c r="Q60" s="167" t="e">
        <f t="shared" si="6"/>
        <v>#REF!</v>
      </c>
      <c r="R60" s="168" t="e">
        <f t="shared" si="8"/>
        <v>#REF!</v>
      </c>
      <c r="S60" s="167" t="e">
        <f t="shared" si="9"/>
        <v>#REF!</v>
      </c>
      <c r="T60" s="167" t="e">
        <f t="shared" si="10"/>
        <v>#REF!</v>
      </c>
    </row>
    <row r="61" spans="1:20" ht="16.5" customHeight="1" x14ac:dyDescent="0.25">
      <c r="A61" s="65">
        <v>2</v>
      </c>
      <c r="B61" s="66" t="s">
        <v>38</v>
      </c>
      <c r="D61" s="174">
        <f>VLOOKUP(B61,'WF Need'!$B$7:$AB$64,27, FALSE)</f>
        <v>5735493.9915314158</v>
      </c>
      <c r="E61" s="92">
        <f t="shared" si="3"/>
        <v>1.9172894185911537E-3</v>
      </c>
      <c r="F61" s="8" t="e">
        <f>#REF!</f>
        <v>#REF!</v>
      </c>
      <c r="H61" s="180" t="e">
        <f>IF(F61&lt;Floors!$E$4,Floors!$E$4, "-")</f>
        <v>#REF!</v>
      </c>
      <c r="I61" s="65" t="e">
        <f t="shared" si="4"/>
        <v>#REF!</v>
      </c>
      <c r="J61" s="177" t="e">
        <f>IF(I61="Y",VLOOKUP(B61,#REF!,2,FALSE)*1.1,"N/A ")</f>
        <v>#REF!</v>
      </c>
      <c r="K61" s="177" t="e">
        <f t="shared" si="0"/>
        <v>#REF!</v>
      </c>
      <c r="M61" s="177" t="e">
        <f t="shared" si="5"/>
        <v>#REF!</v>
      </c>
      <c r="N61" s="167" t="e">
        <f t="shared" si="1"/>
        <v>#REF!</v>
      </c>
      <c r="O61" s="165" t="e">
        <f t="shared" si="2"/>
        <v>#REF!</v>
      </c>
      <c r="P61" s="167" t="e">
        <f t="shared" si="13"/>
        <v>#REF!</v>
      </c>
      <c r="Q61" s="167" t="e">
        <f t="shared" si="6"/>
        <v>#REF!</v>
      </c>
      <c r="R61" s="168" t="e">
        <f t="shared" si="8"/>
        <v>#REF!</v>
      </c>
      <c r="S61" s="167" t="e">
        <f t="shared" si="9"/>
        <v>#REF!</v>
      </c>
      <c r="T61" s="167" t="e">
        <f t="shared" si="10"/>
        <v>#REF!</v>
      </c>
    </row>
    <row r="62" spans="1:20" ht="16.5" customHeight="1" x14ac:dyDescent="0.25">
      <c r="A62" s="65">
        <v>3</v>
      </c>
      <c r="B62" s="66" t="s">
        <v>52</v>
      </c>
      <c r="D62" s="174">
        <f>VLOOKUP(B62,'WF Need'!$B$7:$AB$64,27, FALSE)</f>
        <v>52081213.101034746</v>
      </c>
      <c r="E62" s="92">
        <f t="shared" si="3"/>
        <v>1.7409966592841462E-2</v>
      </c>
      <c r="F62" s="8" t="e">
        <f>#REF!</f>
        <v>#REF!</v>
      </c>
      <c r="H62" s="180" t="e">
        <f>IF(F62&lt;Floors!$E$4,Floors!$E$4, "-")</f>
        <v>#REF!</v>
      </c>
      <c r="I62" s="65" t="e">
        <f t="shared" si="4"/>
        <v>#REF!</v>
      </c>
      <c r="J62" s="177" t="e">
        <f>IF(I62="Y",VLOOKUP(B62,#REF!,2,FALSE)*1.1,"N/A ")</f>
        <v>#REF!</v>
      </c>
      <c r="K62" s="177" t="e">
        <f t="shared" si="0"/>
        <v>#REF!</v>
      </c>
      <c r="M62" s="177" t="e">
        <f t="shared" si="5"/>
        <v>#REF!</v>
      </c>
      <c r="N62" s="167" t="e">
        <f t="shared" si="1"/>
        <v>#REF!</v>
      </c>
      <c r="O62" s="165" t="e">
        <f t="shared" si="2"/>
        <v>#REF!</v>
      </c>
      <c r="P62" s="167" t="e">
        <f t="shared" si="13"/>
        <v>#REF!</v>
      </c>
      <c r="Q62" s="167" t="e">
        <f t="shared" si="6"/>
        <v>#REF!</v>
      </c>
      <c r="R62" s="168" t="e">
        <f t="shared" si="8"/>
        <v>#REF!</v>
      </c>
      <c r="S62" s="167" t="e">
        <f t="shared" si="9"/>
        <v>#REF!</v>
      </c>
      <c r="T62" s="167" t="e">
        <f t="shared" si="10"/>
        <v>#REF!</v>
      </c>
    </row>
    <row r="63" spans="1:20" ht="16.5" customHeight="1" x14ac:dyDescent="0.25">
      <c r="A63" s="65">
        <v>2</v>
      </c>
      <c r="B63" s="66" t="s">
        <v>39</v>
      </c>
      <c r="D63" s="174">
        <f>VLOOKUP(B63,'WF Need'!$B$7:$AB$64,27, FALSE)</f>
        <v>18710200.404819757</v>
      </c>
      <c r="E63" s="92">
        <f t="shared" si="3"/>
        <v>6.254538721311177E-3</v>
      </c>
      <c r="F63" s="8" t="e">
        <f>#REF!</f>
        <v>#REF!</v>
      </c>
      <c r="H63" s="180" t="e">
        <f>IF(F63&lt;Floors!$E$4,Floors!$E$4, "-")</f>
        <v>#REF!</v>
      </c>
      <c r="I63" s="65" t="e">
        <f t="shared" si="4"/>
        <v>#REF!</v>
      </c>
      <c r="J63" s="177" t="e">
        <f>IF(I63="Y",VLOOKUP(B63,#REF!,2,FALSE)*1.1,"N/A ")</f>
        <v>#REF!</v>
      </c>
      <c r="K63" s="177" t="e">
        <f t="shared" si="0"/>
        <v>#REF!</v>
      </c>
      <c r="M63" s="177" t="e">
        <f t="shared" si="5"/>
        <v>#REF!</v>
      </c>
      <c r="N63" s="167" t="e">
        <f t="shared" si="1"/>
        <v>#REF!</v>
      </c>
      <c r="O63" s="165" t="e">
        <f t="shared" si="2"/>
        <v>#REF!</v>
      </c>
      <c r="P63" s="167" t="e">
        <f t="shared" si="13"/>
        <v>#REF!</v>
      </c>
      <c r="Q63" s="167" t="e">
        <f t="shared" si="6"/>
        <v>#REF!</v>
      </c>
      <c r="R63" s="168" t="e">
        <f t="shared" si="8"/>
        <v>#REF!</v>
      </c>
      <c r="S63" s="167" t="e">
        <f t="shared" si="9"/>
        <v>#REF!</v>
      </c>
      <c r="T63" s="167" t="e">
        <f t="shared" si="10"/>
        <v>#REF!</v>
      </c>
    </row>
    <row r="64" spans="1:20" ht="16.5" customHeight="1" x14ac:dyDescent="0.25">
      <c r="A64" s="65">
        <v>2</v>
      </c>
      <c r="B64" s="66" t="s">
        <v>40</v>
      </c>
      <c r="D64" s="174">
        <f>VLOOKUP(B64,'WF Need'!$B$7:$AB$64,27, FALSE)</f>
        <v>8867753.6096813865</v>
      </c>
      <c r="E64" s="92">
        <f t="shared" si="3"/>
        <v>2.9643567210809623E-3</v>
      </c>
      <c r="F64" s="8" t="e">
        <f>#REF!</f>
        <v>#REF!</v>
      </c>
      <c r="H64" s="180" t="e">
        <f>IF(F64&lt;Floors!$E$4,Floors!$E$4, "-")</f>
        <v>#REF!</v>
      </c>
      <c r="I64" s="65" t="e">
        <f t="shared" si="4"/>
        <v>#REF!</v>
      </c>
      <c r="J64" s="177" t="e">
        <f>IF(I64="Y",VLOOKUP(B64,#REF!,2,FALSE)*1.1,"N/A ")</f>
        <v>#REF!</v>
      </c>
      <c r="K64" s="177" t="e">
        <f t="shared" si="0"/>
        <v>#REF!</v>
      </c>
      <c r="M64" s="177" t="e">
        <f t="shared" si="5"/>
        <v>#REF!</v>
      </c>
      <c r="N64" s="167" t="e">
        <f t="shared" si="1"/>
        <v>#REF!</v>
      </c>
      <c r="O64" s="165" t="e">
        <f t="shared" si="2"/>
        <v>#REF!</v>
      </c>
      <c r="P64" s="167" t="e">
        <f t="shared" si="13"/>
        <v>#REF!</v>
      </c>
      <c r="Q64" s="167" t="e">
        <f t="shared" si="6"/>
        <v>#REF!</v>
      </c>
      <c r="R64" s="168" t="e">
        <f t="shared" si="8"/>
        <v>#REF!</v>
      </c>
      <c r="S64" s="167" t="e">
        <f t="shared" si="9"/>
        <v>#REF!</v>
      </c>
      <c r="T64" s="167" t="e">
        <f t="shared" si="10"/>
        <v>#REF!</v>
      </c>
    </row>
    <row r="65" spans="2:22" ht="16.5" customHeight="1" thickBot="1" x14ac:dyDescent="0.3">
      <c r="B65" s="98" t="s">
        <v>62</v>
      </c>
      <c r="D65" s="181">
        <f>SUM(D7:D64)</f>
        <v>2991459680.4826279</v>
      </c>
      <c r="E65" s="175">
        <f>SUM(E7:E64)</f>
        <v>1.0000000000000004</v>
      </c>
      <c r="F65" s="182" t="e">
        <f>SUM(F7:F64)</f>
        <v>#REF!</v>
      </c>
      <c r="H65" s="53"/>
      <c r="I65" s="53"/>
      <c r="J65" s="161"/>
      <c r="K65" s="161"/>
      <c r="M65" s="182" t="e">
        <f t="shared" ref="M65" si="14">SUM(M7:M64)</f>
        <v>#REF!</v>
      </c>
      <c r="N65" s="165"/>
      <c r="O65" s="165"/>
      <c r="P65" s="170" t="e">
        <f t="shared" ref="P65:S65" si="15">SUM(P7:P64)</f>
        <v>#REF!</v>
      </c>
      <c r="Q65" s="170" t="e">
        <f t="shared" si="15"/>
        <v>#REF!</v>
      </c>
      <c r="R65" s="171" t="e">
        <f>SUM(R7:R64)</f>
        <v>#REF!</v>
      </c>
      <c r="S65" s="170" t="e">
        <f t="shared" si="15"/>
        <v>#REF!</v>
      </c>
      <c r="T65" s="170" t="e">
        <f t="shared" ref="T65" si="16">SUM(T7:T64)</f>
        <v>#REF!</v>
      </c>
    </row>
    <row r="66" spans="2:22" ht="15.75" thickTop="1" x14ac:dyDescent="0.25">
      <c r="D66" s="172"/>
      <c r="F66" s="58"/>
      <c r="H66" s="53"/>
      <c r="I66" s="53"/>
      <c r="N66" s="165"/>
      <c r="O66" s="165"/>
      <c r="P66" s="165"/>
      <c r="Q66" s="165"/>
      <c r="R66" s="165"/>
      <c r="S66" s="165"/>
      <c r="T66" s="165"/>
    </row>
    <row r="67" spans="2:22" ht="15" customHeight="1" x14ac:dyDescent="0.25">
      <c r="B67" s="176" t="s">
        <v>193</v>
      </c>
      <c r="D67" s="173"/>
      <c r="H67" s="53"/>
      <c r="I67" s="53"/>
      <c r="M67" s="84"/>
      <c r="N67" s="165"/>
      <c r="O67" s="165"/>
      <c r="P67" s="312" t="s">
        <v>112</v>
      </c>
      <c r="Q67" s="312"/>
      <c r="R67" s="312"/>
      <c r="S67" s="312"/>
      <c r="T67" s="312"/>
      <c r="U67" s="159"/>
      <c r="V67" s="159"/>
    </row>
    <row r="68" spans="2:22" x14ac:dyDescent="0.25">
      <c r="D68" s="172"/>
      <c r="F68" s="58"/>
      <c r="H68" s="53"/>
      <c r="I68" s="53"/>
      <c r="N68" s="165"/>
      <c r="O68" s="165"/>
      <c r="P68" s="312"/>
      <c r="Q68" s="312"/>
      <c r="R68" s="312"/>
      <c r="S68" s="312"/>
      <c r="T68" s="312"/>
      <c r="U68" s="159"/>
      <c r="V68" s="159"/>
    </row>
    <row r="69" spans="2:22" x14ac:dyDescent="0.25">
      <c r="D69" s="172"/>
      <c r="F69" s="58"/>
      <c r="H69" s="53"/>
      <c r="I69" s="53"/>
      <c r="N69" s="165"/>
      <c r="O69" s="165"/>
      <c r="P69" s="312"/>
      <c r="Q69" s="312"/>
      <c r="R69" s="312"/>
      <c r="S69" s="312"/>
      <c r="T69" s="312"/>
    </row>
    <row r="70" spans="2:22" x14ac:dyDescent="0.25">
      <c r="D70" s="172"/>
      <c r="F70" s="58"/>
      <c r="H70" s="53"/>
      <c r="I70" s="53"/>
      <c r="P70" s="159"/>
      <c r="Q70" s="159"/>
      <c r="R70" s="159"/>
      <c r="S70" s="159"/>
      <c r="T70" s="159"/>
    </row>
    <row r="71" spans="2:22" x14ac:dyDescent="0.25">
      <c r="D71" s="172"/>
      <c r="F71" s="58"/>
      <c r="H71" s="53"/>
      <c r="I71" s="53"/>
    </row>
    <row r="72" spans="2:22" x14ac:dyDescent="0.25">
      <c r="D72" s="172"/>
      <c r="F72" s="58"/>
      <c r="H72" s="53"/>
      <c r="I72" s="53"/>
    </row>
    <row r="73" spans="2:22" x14ac:dyDescent="0.25">
      <c r="D73" s="172"/>
      <c r="F73" s="58"/>
      <c r="H73" s="53"/>
      <c r="I73" s="53"/>
    </row>
  </sheetData>
  <autoFilter ref="I1:I74" xr:uid="{00000000-0009-0000-0000-00000A000000}"/>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0"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42578125" defaultRowHeight="15" x14ac:dyDescent="0.25"/>
  <cols>
    <col min="1" max="1" width="29.42578125" style="53" customWidth="1"/>
    <col min="2" max="7" width="16.42578125" style="53" customWidth="1"/>
    <col min="8" max="16384" width="9.42578125" style="53"/>
  </cols>
  <sheetData>
    <row r="1" spans="1:5" ht="20.100000000000001" customHeight="1" x14ac:dyDescent="0.25">
      <c r="A1" s="153" t="s">
        <v>188</v>
      </c>
    </row>
    <row r="2" spans="1:5" ht="20.100000000000001" customHeight="1" x14ac:dyDescent="0.25">
      <c r="A2" s="163" t="s">
        <v>206</v>
      </c>
    </row>
    <row r="3" spans="1:5" ht="20.100000000000001" customHeight="1" x14ac:dyDescent="0.25"/>
    <row r="4" spans="1:5" x14ac:dyDescent="0.25">
      <c r="A4" s="53" t="s">
        <v>208</v>
      </c>
      <c r="E4" s="160">
        <v>800000</v>
      </c>
    </row>
  </sheetData>
  <printOptions horizontalCentered="1"/>
  <pageMargins left="0.75" right="0.7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002060"/>
  </sheetPr>
  <dimension ref="B1:P62"/>
  <sheetViews>
    <sheetView workbookViewId="0">
      <selection activeCell="B2" sqref="B2:K3"/>
    </sheetView>
  </sheetViews>
  <sheetFormatPr defaultColWidth="9.42578125" defaultRowHeight="15.75" x14ac:dyDescent="0.25"/>
  <cols>
    <col min="1" max="1" width="5.5703125" customWidth="1"/>
    <col min="2" max="2" width="15.42578125" style="19" bestFit="1" customWidth="1"/>
    <col min="3" max="3" width="13.5703125" customWidth="1"/>
    <col min="4" max="4" width="14.5703125" bestFit="1" customWidth="1"/>
    <col min="5" max="6" width="13.42578125" bestFit="1" customWidth="1"/>
    <col min="7" max="7" width="5.5703125" customWidth="1"/>
    <col min="8" max="8" width="20.5703125" bestFit="1" customWidth="1"/>
    <col min="9" max="9" width="14.5703125" bestFit="1" customWidth="1"/>
    <col min="10" max="10" width="14.42578125" bestFit="1" customWidth="1"/>
    <col min="11" max="11" width="13.42578125" bestFit="1" customWidth="1"/>
    <col min="12" max="12" width="5.5703125" customWidth="1"/>
    <col min="13" max="13" width="13.42578125" bestFit="1" customWidth="1"/>
    <col min="14" max="14" width="12.5703125" customWidth="1"/>
    <col min="15" max="15" width="18.42578125" bestFit="1" customWidth="1"/>
    <col min="16" max="16" width="10.42578125" customWidth="1"/>
  </cols>
  <sheetData>
    <row r="1" spans="2:16" ht="19.5" thickBot="1" x14ac:dyDescent="0.3">
      <c r="B1" s="16"/>
    </row>
    <row r="2" spans="2:16" s="4" customFormat="1" ht="61.5" customHeight="1" x14ac:dyDescent="0.25">
      <c r="B2" s="27" t="s">
        <v>63</v>
      </c>
      <c r="C2" s="28" t="s">
        <v>102</v>
      </c>
      <c r="D2" s="28" t="s">
        <v>101</v>
      </c>
      <c r="E2" s="28" t="s">
        <v>103</v>
      </c>
      <c r="F2" s="29" t="s">
        <v>104</v>
      </c>
      <c r="G2" s="15"/>
      <c r="H2" s="34" t="s">
        <v>105</v>
      </c>
      <c r="I2" s="28" t="s">
        <v>106</v>
      </c>
      <c r="J2" s="28" t="s">
        <v>107</v>
      </c>
      <c r="K2" s="29" t="s">
        <v>104</v>
      </c>
      <c r="M2" s="34" t="s">
        <v>108</v>
      </c>
      <c r="N2" s="28" t="s">
        <v>110</v>
      </c>
      <c r="O2" s="28" t="s">
        <v>109</v>
      </c>
      <c r="P2" s="29" t="s">
        <v>110</v>
      </c>
    </row>
    <row r="3" spans="2:16" ht="15" x14ac:dyDescent="0.25">
      <c r="B3" s="17" t="s">
        <v>53</v>
      </c>
      <c r="C3" s="21" t="e">
        <f>VLOOKUP(B3,#REF!,2)</f>
        <v>#REF!</v>
      </c>
      <c r="D3" s="21" t="e">
        <f>VLOOKUP(B3,#REF!,3)</f>
        <v>#REF!</v>
      </c>
      <c r="E3" s="14" t="e">
        <f>VLOOKUP(B3,#REF!,4)</f>
        <v>#REF!</v>
      </c>
      <c r="F3" s="22" t="e">
        <f>VLOOKUP(B3,#REF!,5)</f>
        <v>#REF!</v>
      </c>
      <c r="H3" s="30" t="e">
        <f>VLOOKUP(B3,#REF!,4)</f>
        <v>#REF!</v>
      </c>
      <c r="I3" s="21" t="e">
        <f>VLOOKUP(B3,#REF!,5)</f>
        <v>#REF!</v>
      </c>
      <c r="J3" s="14" t="e">
        <f>VLOOKUP(B3,#REF!,6)</f>
        <v>#REF!</v>
      </c>
      <c r="K3" s="22" t="e">
        <f>VLOOKUP(B3,#REF!,7)</f>
        <v>#REF!</v>
      </c>
      <c r="M3" s="30" t="e">
        <f t="shared" ref="M3:M34" si="0">H3-C3</f>
        <v>#REF!</v>
      </c>
      <c r="N3" s="35" t="e">
        <f t="shared" ref="N3:N34" si="1">M3/C3</f>
        <v>#REF!</v>
      </c>
      <c r="O3" s="21" t="e">
        <f t="shared" ref="O3:O34" si="2">I3-D3</f>
        <v>#REF!</v>
      </c>
      <c r="P3" s="36" t="e">
        <f t="shared" ref="P3:P34" si="3">O3/D3</f>
        <v>#REF!</v>
      </c>
    </row>
    <row r="4" spans="2:16" ht="15" x14ac:dyDescent="0.25">
      <c r="B4" s="17" t="s">
        <v>4</v>
      </c>
      <c r="C4" s="21" t="e">
        <f>VLOOKUP(B4,#REF!,2)</f>
        <v>#REF!</v>
      </c>
      <c r="D4" s="21" t="e">
        <f>VLOOKUP(B4,#REF!,3)</f>
        <v>#REF!</v>
      </c>
      <c r="E4" s="14" t="e">
        <f>VLOOKUP(B4,#REF!,4)</f>
        <v>#REF!</v>
      </c>
      <c r="F4" s="22" t="e">
        <f>VLOOKUP(B4,#REF!,5)</f>
        <v>#REF!</v>
      </c>
      <c r="H4" s="30" t="e">
        <f>VLOOKUP(B4,#REF!,4)</f>
        <v>#REF!</v>
      </c>
      <c r="I4" s="21" t="e">
        <f>VLOOKUP(B4,#REF!,5)</f>
        <v>#REF!</v>
      </c>
      <c r="J4" s="14" t="e">
        <f>VLOOKUP(B4,#REF!,6)</f>
        <v>#REF!</v>
      </c>
      <c r="K4" s="22" t="e">
        <f>VLOOKUP(B4,#REF!,7)</f>
        <v>#REF!</v>
      </c>
      <c r="M4" s="30" t="e">
        <f t="shared" si="0"/>
        <v>#REF!</v>
      </c>
      <c r="N4" s="35" t="e">
        <f t="shared" si="1"/>
        <v>#REF!</v>
      </c>
      <c r="O4" s="21" t="e">
        <f t="shared" si="2"/>
        <v>#REF!</v>
      </c>
      <c r="P4" s="36" t="e">
        <f t="shared" si="3"/>
        <v>#REF!</v>
      </c>
    </row>
    <row r="5" spans="2:16" ht="15" x14ac:dyDescent="0.25">
      <c r="B5" s="17" t="s">
        <v>5</v>
      </c>
      <c r="C5" s="21" t="e">
        <f>VLOOKUP(B5,#REF!,2)</f>
        <v>#REF!</v>
      </c>
      <c r="D5" s="21" t="e">
        <f>VLOOKUP(B5,#REF!,3)</f>
        <v>#REF!</v>
      </c>
      <c r="E5" s="14" t="e">
        <f>VLOOKUP(B5,#REF!,4)</f>
        <v>#REF!</v>
      </c>
      <c r="F5" s="22" t="e">
        <f>VLOOKUP(B5,#REF!,5)</f>
        <v>#REF!</v>
      </c>
      <c r="H5" s="30" t="e">
        <f>VLOOKUP(B5,#REF!,4)</f>
        <v>#REF!</v>
      </c>
      <c r="I5" s="21" t="e">
        <f>VLOOKUP(B5,#REF!,5)</f>
        <v>#REF!</v>
      </c>
      <c r="J5" s="14" t="e">
        <f>VLOOKUP(B5,#REF!,6)</f>
        <v>#REF!</v>
      </c>
      <c r="K5" s="22" t="e">
        <f>VLOOKUP(B5,#REF!,7)</f>
        <v>#REF!</v>
      </c>
      <c r="M5" s="30" t="e">
        <f t="shared" si="0"/>
        <v>#REF!</v>
      </c>
      <c r="N5" s="35" t="e">
        <f t="shared" si="1"/>
        <v>#REF!</v>
      </c>
      <c r="O5" s="21" t="e">
        <f t="shared" si="2"/>
        <v>#REF!</v>
      </c>
      <c r="P5" s="36" t="e">
        <f t="shared" si="3"/>
        <v>#REF!</v>
      </c>
    </row>
    <row r="6" spans="2:16" ht="15" x14ac:dyDescent="0.25">
      <c r="B6" s="17" t="s">
        <v>19</v>
      </c>
      <c r="C6" s="21" t="e">
        <f>VLOOKUP(B6,#REF!,2)</f>
        <v>#REF!</v>
      </c>
      <c r="D6" s="21" t="e">
        <f>VLOOKUP(B6,#REF!,3)</f>
        <v>#REF!</v>
      </c>
      <c r="E6" s="14" t="e">
        <f>VLOOKUP(B6,#REF!,4)</f>
        <v>#REF!</v>
      </c>
      <c r="F6" s="22" t="e">
        <f>VLOOKUP(B6,#REF!,5)</f>
        <v>#REF!</v>
      </c>
      <c r="H6" s="30" t="e">
        <f>VLOOKUP(B6,#REF!,4)</f>
        <v>#REF!</v>
      </c>
      <c r="I6" s="21" t="e">
        <f>VLOOKUP(B6,#REF!,5)</f>
        <v>#REF!</v>
      </c>
      <c r="J6" s="14" t="e">
        <f>VLOOKUP(B6,#REF!,6)</f>
        <v>#REF!</v>
      </c>
      <c r="K6" s="22" t="e">
        <f>VLOOKUP(B6,#REF!,7)</f>
        <v>#REF!</v>
      </c>
      <c r="M6" s="30" t="e">
        <f t="shared" si="0"/>
        <v>#REF!</v>
      </c>
      <c r="N6" s="35" t="e">
        <f t="shared" si="1"/>
        <v>#REF!</v>
      </c>
      <c r="O6" s="21" t="e">
        <f t="shared" si="2"/>
        <v>#REF!</v>
      </c>
      <c r="P6" s="36" t="e">
        <f t="shared" si="3"/>
        <v>#REF!</v>
      </c>
    </row>
    <row r="7" spans="2:16" ht="15" x14ac:dyDescent="0.25">
      <c r="B7" s="17" t="s">
        <v>6</v>
      </c>
      <c r="C7" s="21" t="e">
        <f>VLOOKUP(B7,#REF!,2)</f>
        <v>#REF!</v>
      </c>
      <c r="D7" s="21" t="e">
        <f>VLOOKUP(B7,#REF!,3)</f>
        <v>#REF!</v>
      </c>
      <c r="E7" s="14" t="e">
        <f>VLOOKUP(B7,#REF!,4)</f>
        <v>#REF!</v>
      </c>
      <c r="F7" s="22" t="e">
        <f>VLOOKUP(B7,#REF!,5)</f>
        <v>#REF!</v>
      </c>
      <c r="H7" s="30" t="e">
        <f>VLOOKUP(B7,#REF!,4)</f>
        <v>#REF!</v>
      </c>
      <c r="I7" s="21" t="e">
        <f>VLOOKUP(B7,#REF!,5)</f>
        <v>#REF!</v>
      </c>
      <c r="J7" s="14" t="e">
        <f>VLOOKUP(B7,#REF!,6)</f>
        <v>#REF!</v>
      </c>
      <c r="K7" s="22" t="e">
        <f>VLOOKUP(B7,#REF!,7)</f>
        <v>#REF!</v>
      </c>
      <c r="M7" s="30" t="e">
        <f t="shared" si="0"/>
        <v>#REF!</v>
      </c>
      <c r="N7" s="35" t="e">
        <f t="shared" si="1"/>
        <v>#REF!</v>
      </c>
      <c r="O7" s="21" t="e">
        <f t="shared" si="2"/>
        <v>#REF!</v>
      </c>
      <c r="P7" s="36" t="e">
        <f t="shared" si="3"/>
        <v>#REF!</v>
      </c>
    </row>
    <row r="8" spans="2:16" ht="15" x14ac:dyDescent="0.25">
      <c r="B8" s="17" t="s">
        <v>7</v>
      </c>
      <c r="C8" s="21" t="e">
        <f>VLOOKUP(B8,#REF!,2)</f>
        <v>#REF!</v>
      </c>
      <c r="D8" s="21" t="e">
        <f>VLOOKUP(B8,#REF!,3)</f>
        <v>#REF!</v>
      </c>
      <c r="E8" s="14" t="e">
        <f>VLOOKUP(B8,#REF!,4)</f>
        <v>#REF!</v>
      </c>
      <c r="F8" s="22" t="e">
        <f>VLOOKUP(B8,#REF!,5)</f>
        <v>#REF!</v>
      </c>
      <c r="H8" s="30" t="e">
        <f>VLOOKUP(B8,#REF!,4)</f>
        <v>#REF!</v>
      </c>
      <c r="I8" s="21" t="e">
        <f>VLOOKUP(B8,#REF!,5)</f>
        <v>#REF!</v>
      </c>
      <c r="J8" s="14" t="e">
        <f>VLOOKUP(B8,#REF!,6)</f>
        <v>#REF!</v>
      </c>
      <c r="K8" s="22" t="e">
        <f>VLOOKUP(B8,#REF!,7)</f>
        <v>#REF!</v>
      </c>
      <c r="M8" s="30" t="e">
        <f t="shared" si="0"/>
        <v>#REF!</v>
      </c>
      <c r="N8" s="35" t="e">
        <f t="shared" si="1"/>
        <v>#REF!</v>
      </c>
      <c r="O8" s="21" t="e">
        <f t="shared" si="2"/>
        <v>#REF!</v>
      </c>
      <c r="P8" s="36" t="e">
        <f t="shared" si="3"/>
        <v>#REF!</v>
      </c>
    </row>
    <row r="9" spans="2:16" ht="15" x14ac:dyDescent="0.25">
      <c r="B9" s="17" t="s">
        <v>41</v>
      </c>
      <c r="C9" s="21" t="e">
        <f>VLOOKUP(B9,#REF!,2)</f>
        <v>#REF!</v>
      </c>
      <c r="D9" s="21" t="e">
        <f>VLOOKUP(B9,#REF!,3)</f>
        <v>#REF!</v>
      </c>
      <c r="E9" s="14" t="e">
        <f>VLOOKUP(B9,#REF!,4)</f>
        <v>#REF!</v>
      </c>
      <c r="F9" s="22" t="e">
        <f>VLOOKUP(B9,#REF!,5)</f>
        <v>#REF!</v>
      </c>
      <c r="H9" s="30" t="e">
        <f>VLOOKUP(B9,#REF!,4)</f>
        <v>#REF!</v>
      </c>
      <c r="I9" s="21" t="e">
        <f>VLOOKUP(B9,#REF!,5)</f>
        <v>#REF!</v>
      </c>
      <c r="J9" s="14" t="e">
        <f>VLOOKUP(B9,#REF!,6)</f>
        <v>#REF!</v>
      </c>
      <c r="K9" s="22" t="e">
        <f>VLOOKUP(B9,#REF!,7)</f>
        <v>#REF!</v>
      </c>
      <c r="M9" s="30" t="e">
        <f t="shared" si="0"/>
        <v>#REF!</v>
      </c>
      <c r="N9" s="35" t="e">
        <f t="shared" si="1"/>
        <v>#REF!</v>
      </c>
      <c r="O9" s="21" t="e">
        <f t="shared" si="2"/>
        <v>#REF!</v>
      </c>
      <c r="P9" s="36" t="e">
        <f t="shared" si="3"/>
        <v>#REF!</v>
      </c>
    </row>
    <row r="10" spans="2:16" ht="15" x14ac:dyDescent="0.25">
      <c r="B10" s="17" t="s">
        <v>8</v>
      </c>
      <c r="C10" s="21" t="e">
        <f>VLOOKUP(B10,#REF!,2)</f>
        <v>#REF!</v>
      </c>
      <c r="D10" s="21" t="e">
        <f>VLOOKUP(B10,#REF!,3)</f>
        <v>#REF!</v>
      </c>
      <c r="E10" s="14" t="e">
        <f>VLOOKUP(B10,#REF!,4)</f>
        <v>#REF!</v>
      </c>
      <c r="F10" s="22" t="e">
        <f>VLOOKUP(B10,#REF!,5)</f>
        <v>#REF!</v>
      </c>
      <c r="H10" s="30" t="e">
        <f>VLOOKUP(B10,#REF!,4)</f>
        <v>#REF!</v>
      </c>
      <c r="I10" s="21" t="e">
        <f>VLOOKUP(B10,#REF!,5)</f>
        <v>#REF!</v>
      </c>
      <c r="J10" s="14" t="e">
        <f>VLOOKUP(B10,#REF!,6)</f>
        <v>#REF!</v>
      </c>
      <c r="K10" s="22" t="e">
        <f>VLOOKUP(B10,#REF!,7)</f>
        <v>#REF!</v>
      </c>
      <c r="M10" s="30" t="e">
        <f t="shared" si="0"/>
        <v>#REF!</v>
      </c>
      <c r="N10" s="35" t="e">
        <f t="shared" si="1"/>
        <v>#REF!</v>
      </c>
      <c r="O10" s="21" t="e">
        <f t="shared" si="2"/>
        <v>#REF!</v>
      </c>
      <c r="P10" s="36" t="e">
        <f t="shared" si="3"/>
        <v>#REF!</v>
      </c>
    </row>
    <row r="11" spans="2:16" ht="15" x14ac:dyDescent="0.25">
      <c r="B11" s="17" t="s">
        <v>20</v>
      </c>
      <c r="C11" s="21" t="e">
        <f>VLOOKUP(B11,#REF!,2)</f>
        <v>#REF!</v>
      </c>
      <c r="D11" s="21" t="e">
        <f>VLOOKUP(B11,#REF!,3)</f>
        <v>#REF!</v>
      </c>
      <c r="E11" s="14" t="e">
        <f>VLOOKUP(B11,#REF!,4)</f>
        <v>#REF!</v>
      </c>
      <c r="F11" s="22" t="e">
        <f>VLOOKUP(B11,#REF!,5)</f>
        <v>#REF!</v>
      </c>
      <c r="H11" s="30" t="e">
        <f>VLOOKUP(B11,#REF!,4)</f>
        <v>#REF!</v>
      </c>
      <c r="I11" s="21" t="e">
        <f>VLOOKUP(B11,#REF!,5)</f>
        <v>#REF!</v>
      </c>
      <c r="J11" s="14" t="e">
        <f>VLOOKUP(B11,#REF!,6)</f>
        <v>#REF!</v>
      </c>
      <c r="K11" s="22" t="e">
        <f>VLOOKUP(B11,#REF!,7)</f>
        <v>#REF!</v>
      </c>
      <c r="M11" s="30" t="e">
        <f t="shared" si="0"/>
        <v>#REF!</v>
      </c>
      <c r="N11" s="35" t="e">
        <f t="shared" si="1"/>
        <v>#REF!</v>
      </c>
      <c r="O11" s="21" t="e">
        <f t="shared" si="2"/>
        <v>#REF!</v>
      </c>
      <c r="P11" s="36" t="e">
        <f t="shared" si="3"/>
        <v>#REF!</v>
      </c>
    </row>
    <row r="12" spans="2:16" ht="15" x14ac:dyDescent="0.25">
      <c r="B12" s="17" t="s">
        <v>42</v>
      </c>
      <c r="C12" s="21" t="e">
        <f>VLOOKUP(B12,#REF!,2)</f>
        <v>#REF!</v>
      </c>
      <c r="D12" s="21" t="e">
        <f>VLOOKUP(B12,#REF!,3)</f>
        <v>#REF!</v>
      </c>
      <c r="E12" s="14" t="e">
        <f>VLOOKUP(B12,#REF!,4)</f>
        <v>#REF!</v>
      </c>
      <c r="F12" s="22" t="e">
        <f>VLOOKUP(B12,#REF!,5)</f>
        <v>#REF!</v>
      </c>
      <c r="H12" s="30" t="e">
        <f>VLOOKUP(B12,#REF!,4)</f>
        <v>#REF!</v>
      </c>
      <c r="I12" s="21" t="e">
        <f>VLOOKUP(B12,#REF!,5)</f>
        <v>#REF!</v>
      </c>
      <c r="J12" s="14" t="e">
        <f>VLOOKUP(B12,#REF!,6)</f>
        <v>#REF!</v>
      </c>
      <c r="K12" s="22" t="e">
        <f>VLOOKUP(B12,#REF!,7)</f>
        <v>#REF!</v>
      </c>
      <c r="M12" s="30" t="e">
        <f t="shared" si="0"/>
        <v>#REF!</v>
      </c>
      <c r="N12" s="35" t="e">
        <f t="shared" si="1"/>
        <v>#REF!</v>
      </c>
      <c r="O12" s="21" t="e">
        <f t="shared" si="2"/>
        <v>#REF!</v>
      </c>
      <c r="P12" s="36" t="e">
        <f t="shared" si="3"/>
        <v>#REF!</v>
      </c>
    </row>
    <row r="13" spans="2:16" ht="15" x14ac:dyDescent="0.25">
      <c r="B13" s="17" t="s">
        <v>9</v>
      </c>
      <c r="C13" s="21" t="e">
        <f>VLOOKUP(B13,#REF!,2)</f>
        <v>#REF!</v>
      </c>
      <c r="D13" s="21" t="e">
        <f>VLOOKUP(B13,#REF!,3)</f>
        <v>#REF!</v>
      </c>
      <c r="E13" s="14" t="e">
        <f>VLOOKUP(B13,#REF!,4)</f>
        <v>#REF!</v>
      </c>
      <c r="F13" s="22" t="e">
        <f>VLOOKUP(B13,#REF!,5)</f>
        <v>#REF!</v>
      </c>
      <c r="H13" s="30" t="e">
        <f>VLOOKUP(B13,#REF!,4)</f>
        <v>#REF!</v>
      </c>
      <c r="I13" s="21" t="e">
        <f>VLOOKUP(B13,#REF!,5)</f>
        <v>#REF!</v>
      </c>
      <c r="J13" s="14" t="e">
        <f>VLOOKUP(B13,#REF!,6)</f>
        <v>#REF!</v>
      </c>
      <c r="K13" s="22" t="e">
        <f>VLOOKUP(B13,#REF!,7)</f>
        <v>#REF!</v>
      </c>
      <c r="M13" s="30" t="e">
        <f t="shared" si="0"/>
        <v>#REF!</v>
      </c>
      <c r="N13" s="35" t="e">
        <f t="shared" si="1"/>
        <v>#REF!</v>
      </c>
      <c r="O13" s="21" t="e">
        <f t="shared" si="2"/>
        <v>#REF!</v>
      </c>
      <c r="P13" s="36" t="e">
        <f t="shared" si="3"/>
        <v>#REF!</v>
      </c>
    </row>
    <row r="14" spans="2:16" ht="15" x14ac:dyDescent="0.25">
      <c r="B14" s="17" t="s">
        <v>21</v>
      </c>
      <c r="C14" s="21" t="e">
        <f>VLOOKUP(B14,#REF!,2)</f>
        <v>#REF!</v>
      </c>
      <c r="D14" s="21" t="e">
        <f>VLOOKUP(B14,#REF!,3)</f>
        <v>#REF!</v>
      </c>
      <c r="E14" s="14" t="e">
        <f>VLOOKUP(B14,#REF!,4)</f>
        <v>#REF!</v>
      </c>
      <c r="F14" s="22" t="e">
        <f>VLOOKUP(B14,#REF!,5)</f>
        <v>#REF!</v>
      </c>
      <c r="H14" s="30" t="e">
        <f>VLOOKUP(B14,#REF!,4)</f>
        <v>#REF!</v>
      </c>
      <c r="I14" s="21" t="e">
        <f>VLOOKUP(B14,#REF!,5)</f>
        <v>#REF!</v>
      </c>
      <c r="J14" s="14" t="e">
        <f>VLOOKUP(B14,#REF!,6)</f>
        <v>#REF!</v>
      </c>
      <c r="K14" s="22" t="e">
        <f>VLOOKUP(B14,#REF!,7)</f>
        <v>#REF!</v>
      </c>
      <c r="M14" s="30" t="e">
        <f t="shared" si="0"/>
        <v>#REF!</v>
      </c>
      <c r="N14" s="35" t="e">
        <f t="shared" si="1"/>
        <v>#REF!</v>
      </c>
      <c r="O14" s="21" t="e">
        <f t="shared" si="2"/>
        <v>#REF!</v>
      </c>
      <c r="P14" s="36" t="e">
        <f t="shared" si="3"/>
        <v>#REF!</v>
      </c>
    </row>
    <row r="15" spans="2:16" ht="15" x14ac:dyDescent="0.25">
      <c r="B15" s="17" t="s">
        <v>22</v>
      </c>
      <c r="C15" s="21" t="e">
        <f>VLOOKUP(B15,#REF!,2)</f>
        <v>#REF!</v>
      </c>
      <c r="D15" s="21" t="e">
        <f>VLOOKUP(B15,#REF!,3)</f>
        <v>#REF!</v>
      </c>
      <c r="E15" s="14" t="e">
        <f>VLOOKUP(B15,#REF!,4)</f>
        <v>#REF!</v>
      </c>
      <c r="F15" s="22" t="e">
        <f>VLOOKUP(B15,#REF!,5)</f>
        <v>#REF!</v>
      </c>
      <c r="H15" s="30" t="e">
        <f>VLOOKUP(B15,#REF!,4)</f>
        <v>#REF!</v>
      </c>
      <c r="I15" s="21" t="e">
        <f>VLOOKUP(B15,#REF!,5)</f>
        <v>#REF!</v>
      </c>
      <c r="J15" s="14" t="e">
        <f>VLOOKUP(B15,#REF!,6)</f>
        <v>#REF!</v>
      </c>
      <c r="K15" s="22" t="e">
        <f>VLOOKUP(B15,#REF!,7)</f>
        <v>#REF!</v>
      </c>
      <c r="M15" s="30" t="e">
        <f t="shared" si="0"/>
        <v>#REF!</v>
      </c>
      <c r="N15" s="35" t="e">
        <f t="shared" si="1"/>
        <v>#REF!</v>
      </c>
      <c r="O15" s="21" t="e">
        <f t="shared" si="2"/>
        <v>#REF!</v>
      </c>
      <c r="P15" s="36" t="e">
        <f t="shared" si="3"/>
        <v>#REF!</v>
      </c>
    </row>
    <row r="16" spans="2:16" ht="15" x14ac:dyDescent="0.25">
      <c r="B16" s="17" t="s">
        <v>10</v>
      </c>
      <c r="C16" s="21" t="e">
        <f>VLOOKUP(B16,#REF!,2)</f>
        <v>#REF!</v>
      </c>
      <c r="D16" s="21" t="e">
        <f>VLOOKUP(B16,#REF!,3)</f>
        <v>#REF!</v>
      </c>
      <c r="E16" s="14" t="e">
        <f>VLOOKUP(B16,#REF!,4)</f>
        <v>#REF!</v>
      </c>
      <c r="F16" s="22" t="e">
        <f>VLOOKUP(B16,#REF!,5)</f>
        <v>#REF!</v>
      </c>
      <c r="H16" s="30" t="e">
        <f>VLOOKUP(B16,#REF!,4)</f>
        <v>#REF!</v>
      </c>
      <c r="I16" s="21" t="e">
        <f>VLOOKUP(B16,#REF!,5)</f>
        <v>#REF!</v>
      </c>
      <c r="J16" s="14" t="e">
        <f>VLOOKUP(B16,#REF!,6)</f>
        <v>#REF!</v>
      </c>
      <c r="K16" s="22" t="e">
        <f>VLOOKUP(B16,#REF!,7)</f>
        <v>#REF!</v>
      </c>
      <c r="M16" s="30" t="e">
        <f t="shared" si="0"/>
        <v>#REF!</v>
      </c>
      <c r="N16" s="35" t="e">
        <f t="shared" si="1"/>
        <v>#REF!</v>
      </c>
      <c r="O16" s="21" t="e">
        <f t="shared" si="2"/>
        <v>#REF!</v>
      </c>
      <c r="P16" s="36" t="e">
        <f t="shared" si="3"/>
        <v>#REF!</v>
      </c>
    </row>
    <row r="17" spans="2:16" ht="15" x14ac:dyDescent="0.25">
      <c r="B17" s="17" t="s">
        <v>43</v>
      </c>
      <c r="C17" s="21" t="e">
        <f>VLOOKUP(B17,#REF!,2)</f>
        <v>#REF!</v>
      </c>
      <c r="D17" s="21" t="e">
        <f>VLOOKUP(B17,#REF!,3)</f>
        <v>#REF!</v>
      </c>
      <c r="E17" s="14" t="e">
        <f>VLOOKUP(B17,#REF!,4)</f>
        <v>#REF!</v>
      </c>
      <c r="F17" s="22" t="e">
        <f>VLOOKUP(B17,#REF!,5)</f>
        <v>#REF!</v>
      </c>
      <c r="H17" s="30" t="e">
        <f>VLOOKUP(B17,#REF!,4)</f>
        <v>#REF!</v>
      </c>
      <c r="I17" s="21" t="e">
        <f>VLOOKUP(B17,#REF!,5)</f>
        <v>#REF!</v>
      </c>
      <c r="J17" s="14" t="e">
        <f>VLOOKUP(B17,#REF!,6)</f>
        <v>#REF!</v>
      </c>
      <c r="K17" s="22" t="e">
        <f>VLOOKUP(B17,#REF!,7)</f>
        <v>#REF!</v>
      </c>
      <c r="M17" s="30" t="e">
        <f t="shared" si="0"/>
        <v>#REF!</v>
      </c>
      <c r="N17" s="35" t="e">
        <f t="shared" si="1"/>
        <v>#REF!</v>
      </c>
      <c r="O17" s="21" t="e">
        <f t="shared" si="2"/>
        <v>#REF!</v>
      </c>
      <c r="P17" s="36" t="e">
        <f t="shared" si="3"/>
        <v>#REF!</v>
      </c>
    </row>
    <row r="18" spans="2:16" ht="15" x14ac:dyDescent="0.25">
      <c r="B18" s="17" t="s">
        <v>23</v>
      </c>
      <c r="C18" s="21" t="e">
        <f>VLOOKUP(B18,#REF!,2)</f>
        <v>#REF!</v>
      </c>
      <c r="D18" s="21" t="e">
        <f>VLOOKUP(B18,#REF!,3)</f>
        <v>#REF!</v>
      </c>
      <c r="E18" s="14" t="e">
        <f>VLOOKUP(B18,#REF!,4)</f>
        <v>#REF!</v>
      </c>
      <c r="F18" s="22" t="e">
        <f>VLOOKUP(B18,#REF!,5)</f>
        <v>#REF!</v>
      </c>
      <c r="H18" s="30" t="e">
        <f>VLOOKUP(B18,#REF!,4)</f>
        <v>#REF!</v>
      </c>
      <c r="I18" s="21" t="e">
        <f>VLOOKUP(B18,#REF!,5)</f>
        <v>#REF!</v>
      </c>
      <c r="J18" s="14" t="e">
        <f>VLOOKUP(B18,#REF!,6)</f>
        <v>#REF!</v>
      </c>
      <c r="K18" s="22" t="e">
        <f>VLOOKUP(B18,#REF!,7)</f>
        <v>#REF!</v>
      </c>
      <c r="M18" s="30" t="e">
        <f t="shared" si="0"/>
        <v>#REF!</v>
      </c>
      <c r="N18" s="35" t="e">
        <f t="shared" si="1"/>
        <v>#REF!</v>
      </c>
      <c r="O18" s="21" t="e">
        <f t="shared" si="2"/>
        <v>#REF!</v>
      </c>
      <c r="P18" s="36" t="e">
        <f t="shared" si="3"/>
        <v>#REF!</v>
      </c>
    </row>
    <row r="19" spans="2:16" ht="15" x14ac:dyDescent="0.25">
      <c r="B19" s="17" t="s">
        <v>24</v>
      </c>
      <c r="C19" s="21" t="e">
        <f>VLOOKUP(B19,#REF!,2)</f>
        <v>#REF!</v>
      </c>
      <c r="D19" s="21" t="e">
        <f>VLOOKUP(B19,#REF!,3)</f>
        <v>#REF!</v>
      </c>
      <c r="E19" s="14" t="e">
        <f>VLOOKUP(B19,#REF!,4)</f>
        <v>#REF!</v>
      </c>
      <c r="F19" s="22" t="e">
        <f>VLOOKUP(B19,#REF!,5)</f>
        <v>#REF!</v>
      </c>
      <c r="H19" s="30" t="e">
        <f>VLOOKUP(B19,#REF!,4)</f>
        <v>#REF!</v>
      </c>
      <c r="I19" s="21" t="e">
        <f>VLOOKUP(B19,#REF!,5)</f>
        <v>#REF!</v>
      </c>
      <c r="J19" s="14" t="e">
        <f>VLOOKUP(B19,#REF!,6)</f>
        <v>#REF!</v>
      </c>
      <c r="K19" s="22" t="e">
        <f>VLOOKUP(B19,#REF!,7)</f>
        <v>#REF!</v>
      </c>
      <c r="M19" s="30" t="e">
        <f t="shared" si="0"/>
        <v>#REF!</v>
      </c>
      <c r="N19" s="35" t="e">
        <f t="shared" si="1"/>
        <v>#REF!</v>
      </c>
      <c r="O19" s="21" t="e">
        <f t="shared" si="2"/>
        <v>#REF!</v>
      </c>
      <c r="P19" s="36" t="e">
        <f t="shared" si="3"/>
        <v>#REF!</v>
      </c>
    </row>
    <row r="20" spans="2:16" ht="15" x14ac:dyDescent="0.25">
      <c r="B20" s="17" t="s">
        <v>11</v>
      </c>
      <c r="C20" s="21" t="e">
        <f>VLOOKUP(B20,#REF!,2)</f>
        <v>#REF!</v>
      </c>
      <c r="D20" s="21" t="e">
        <f>VLOOKUP(B20,#REF!,3)</f>
        <v>#REF!</v>
      </c>
      <c r="E20" s="14" t="e">
        <f>VLOOKUP(B20,#REF!,4)</f>
        <v>#REF!</v>
      </c>
      <c r="F20" s="22" t="e">
        <f>VLOOKUP(B20,#REF!,5)</f>
        <v>#REF!</v>
      </c>
      <c r="H20" s="30" t="e">
        <f>VLOOKUP(B20,#REF!,4)</f>
        <v>#REF!</v>
      </c>
      <c r="I20" s="21" t="e">
        <f>VLOOKUP(B20,#REF!,5)</f>
        <v>#REF!</v>
      </c>
      <c r="J20" s="14" t="e">
        <f>VLOOKUP(B20,#REF!,6)</f>
        <v>#REF!</v>
      </c>
      <c r="K20" s="22" t="e">
        <f>VLOOKUP(B20,#REF!,7)</f>
        <v>#REF!</v>
      </c>
      <c r="M20" s="30" t="e">
        <f t="shared" si="0"/>
        <v>#REF!</v>
      </c>
      <c r="N20" s="35" t="e">
        <f t="shared" si="1"/>
        <v>#REF!</v>
      </c>
      <c r="O20" s="21" t="e">
        <f t="shared" si="2"/>
        <v>#REF!</v>
      </c>
      <c r="P20" s="36" t="e">
        <f t="shared" si="3"/>
        <v>#REF!</v>
      </c>
    </row>
    <row r="21" spans="2:16" ht="15" x14ac:dyDescent="0.25">
      <c r="B21" s="17" t="s">
        <v>54</v>
      </c>
      <c r="C21" s="21" t="e">
        <f>VLOOKUP(B21,#REF!,2)</f>
        <v>#REF!</v>
      </c>
      <c r="D21" s="21" t="e">
        <f>VLOOKUP(B21,#REF!,3)</f>
        <v>#REF!</v>
      </c>
      <c r="E21" s="14" t="e">
        <f>VLOOKUP(B21,#REF!,4)</f>
        <v>#REF!</v>
      </c>
      <c r="F21" s="22" t="e">
        <f>VLOOKUP(B21,#REF!,5)</f>
        <v>#REF!</v>
      </c>
      <c r="H21" s="30" t="e">
        <f>VLOOKUP(B21,#REF!,4)</f>
        <v>#REF!</v>
      </c>
      <c r="I21" s="21" t="e">
        <f>VLOOKUP(B21,#REF!,5)</f>
        <v>#REF!</v>
      </c>
      <c r="J21" s="14" t="e">
        <f>VLOOKUP(B21,#REF!,6)</f>
        <v>#REF!</v>
      </c>
      <c r="K21" s="22" t="e">
        <f>VLOOKUP(B21,#REF!,7)</f>
        <v>#REF!</v>
      </c>
      <c r="M21" s="30" t="e">
        <f t="shared" si="0"/>
        <v>#REF!</v>
      </c>
      <c r="N21" s="35" t="e">
        <f t="shared" si="1"/>
        <v>#REF!</v>
      </c>
      <c r="O21" s="21" t="e">
        <f t="shared" si="2"/>
        <v>#REF!</v>
      </c>
      <c r="P21" s="36" t="e">
        <f t="shared" si="3"/>
        <v>#REF!</v>
      </c>
    </row>
    <row r="22" spans="2:16" ht="15" x14ac:dyDescent="0.25">
      <c r="B22" s="17" t="s">
        <v>25</v>
      </c>
      <c r="C22" s="21" t="e">
        <f>VLOOKUP(B22,#REF!,2)</f>
        <v>#REF!</v>
      </c>
      <c r="D22" s="21" t="e">
        <f>VLOOKUP(B22,#REF!,3)</f>
        <v>#REF!</v>
      </c>
      <c r="E22" s="14" t="e">
        <f>VLOOKUP(B22,#REF!,4)</f>
        <v>#REF!</v>
      </c>
      <c r="F22" s="22" t="e">
        <f>VLOOKUP(B22,#REF!,5)</f>
        <v>#REF!</v>
      </c>
      <c r="H22" s="30" t="e">
        <f>VLOOKUP(B22,#REF!,4)</f>
        <v>#REF!</v>
      </c>
      <c r="I22" s="21" t="e">
        <f>VLOOKUP(B22,#REF!,5)</f>
        <v>#REF!</v>
      </c>
      <c r="J22" s="14" t="e">
        <f>VLOOKUP(B22,#REF!,6)</f>
        <v>#REF!</v>
      </c>
      <c r="K22" s="22" t="e">
        <f>VLOOKUP(B22,#REF!,7)</f>
        <v>#REF!</v>
      </c>
      <c r="M22" s="30" t="e">
        <f t="shared" si="0"/>
        <v>#REF!</v>
      </c>
      <c r="N22" s="35" t="e">
        <f t="shared" si="1"/>
        <v>#REF!</v>
      </c>
      <c r="O22" s="21" t="e">
        <f t="shared" si="2"/>
        <v>#REF!</v>
      </c>
      <c r="P22" s="36" t="e">
        <f t="shared" si="3"/>
        <v>#REF!</v>
      </c>
    </row>
    <row r="23" spans="2:16" ht="15" x14ac:dyDescent="0.25">
      <c r="B23" s="17" t="s">
        <v>26</v>
      </c>
      <c r="C23" s="21" t="e">
        <f>VLOOKUP(B23,#REF!,2)</f>
        <v>#REF!</v>
      </c>
      <c r="D23" s="21" t="e">
        <f>VLOOKUP(B23,#REF!,3)</f>
        <v>#REF!</v>
      </c>
      <c r="E23" s="14" t="e">
        <f>VLOOKUP(B23,#REF!,4)</f>
        <v>#REF!</v>
      </c>
      <c r="F23" s="22" t="e">
        <f>VLOOKUP(B23,#REF!,5)</f>
        <v>#REF!</v>
      </c>
      <c r="H23" s="30" t="e">
        <f>VLOOKUP(B23,#REF!,4)</f>
        <v>#REF!</v>
      </c>
      <c r="I23" s="21" t="e">
        <f>VLOOKUP(B23,#REF!,5)</f>
        <v>#REF!</v>
      </c>
      <c r="J23" s="14" t="e">
        <f>VLOOKUP(B23,#REF!,6)</f>
        <v>#REF!</v>
      </c>
      <c r="K23" s="22" t="e">
        <f>VLOOKUP(B23,#REF!,7)</f>
        <v>#REF!</v>
      </c>
      <c r="M23" s="30" t="e">
        <f t="shared" si="0"/>
        <v>#REF!</v>
      </c>
      <c r="N23" s="35" t="e">
        <f t="shared" si="1"/>
        <v>#REF!</v>
      </c>
      <c r="O23" s="21" t="e">
        <f t="shared" si="2"/>
        <v>#REF!</v>
      </c>
      <c r="P23" s="36" t="e">
        <f t="shared" si="3"/>
        <v>#REF!</v>
      </c>
    </row>
    <row r="24" spans="2:16" ht="15" x14ac:dyDescent="0.25">
      <c r="B24" s="17" t="s">
        <v>12</v>
      </c>
      <c r="C24" s="21" t="e">
        <f>VLOOKUP(B24,#REF!,2)</f>
        <v>#REF!</v>
      </c>
      <c r="D24" s="21" t="e">
        <f>VLOOKUP(B24,#REF!,3)</f>
        <v>#REF!</v>
      </c>
      <c r="E24" s="14" t="e">
        <f>VLOOKUP(B24,#REF!,4)</f>
        <v>#REF!</v>
      </c>
      <c r="F24" s="22" t="e">
        <f>VLOOKUP(B24,#REF!,5)</f>
        <v>#REF!</v>
      </c>
      <c r="H24" s="30" t="e">
        <f>VLOOKUP(B24,#REF!,4)</f>
        <v>#REF!</v>
      </c>
      <c r="I24" s="21" t="e">
        <f>VLOOKUP(B24,#REF!,5)</f>
        <v>#REF!</v>
      </c>
      <c r="J24" s="14" t="e">
        <f>VLOOKUP(B24,#REF!,6)</f>
        <v>#REF!</v>
      </c>
      <c r="K24" s="22" t="e">
        <f>VLOOKUP(B24,#REF!,7)</f>
        <v>#REF!</v>
      </c>
      <c r="M24" s="30" t="e">
        <f t="shared" si="0"/>
        <v>#REF!</v>
      </c>
      <c r="N24" s="35" t="e">
        <f t="shared" si="1"/>
        <v>#REF!</v>
      </c>
      <c r="O24" s="21" t="e">
        <f t="shared" si="2"/>
        <v>#REF!</v>
      </c>
      <c r="P24" s="36" t="e">
        <f t="shared" si="3"/>
        <v>#REF!</v>
      </c>
    </row>
    <row r="25" spans="2:16" ht="15" x14ac:dyDescent="0.25">
      <c r="B25" s="17" t="s">
        <v>27</v>
      </c>
      <c r="C25" s="21" t="e">
        <f>VLOOKUP(B25,#REF!,2)</f>
        <v>#REF!</v>
      </c>
      <c r="D25" s="21" t="e">
        <f>VLOOKUP(B25,#REF!,3)</f>
        <v>#REF!</v>
      </c>
      <c r="E25" s="14" t="e">
        <f>VLOOKUP(B25,#REF!,4)</f>
        <v>#REF!</v>
      </c>
      <c r="F25" s="22" t="e">
        <f>VLOOKUP(B25,#REF!,5)</f>
        <v>#REF!</v>
      </c>
      <c r="H25" s="30" t="e">
        <f>VLOOKUP(B25,#REF!,4)</f>
        <v>#REF!</v>
      </c>
      <c r="I25" s="21" t="e">
        <f>VLOOKUP(B25,#REF!,5)</f>
        <v>#REF!</v>
      </c>
      <c r="J25" s="14" t="e">
        <f>VLOOKUP(B25,#REF!,6)</f>
        <v>#REF!</v>
      </c>
      <c r="K25" s="22" t="e">
        <f>VLOOKUP(B25,#REF!,7)</f>
        <v>#REF!</v>
      </c>
      <c r="M25" s="30" t="e">
        <f t="shared" si="0"/>
        <v>#REF!</v>
      </c>
      <c r="N25" s="35" t="e">
        <f t="shared" si="1"/>
        <v>#REF!</v>
      </c>
      <c r="O25" s="21" t="e">
        <f t="shared" si="2"/>
        <v>#REF!</v>
      </c>
      <c r="P25" s="36" t="e">
        <f t="shared" si="3"/>
        <v>#REF!</v>
      </c>
    </row>
    <row r="26" spans="2:16" ht="15" x14ac:dyDescent="0.25">
      <c r="B26" s="17" t="s">
        <v>28</v>
      </c>
      <c r="C26" s="21" t="e">
        <f>VLOOKUP(B26,#REF!,2)</f>
        <v>#REF!</v>
      </c>
      <c r="D26" s="21" t="e">
        <f>VLOOKUP(B26,#REF!,3)</f>
        <v>#REF!</v>
      </c>
      <c r="E26" s="14" t="e">
        <f>VLOOKUP(B26,#REF!,4)</f>
        <v>#REF!</v>
      </c>
      <c r="F26" s="22" t="e">
        <f>VLOOKUP(B26,#REF!,5)</f>
        <v>#REF!</v>
      </c>
      <c r="H26" s="30" t="e">
        <f>VLOOKUP(B26,#REF!,4)</f>
        <v>#REF!</v>
      </c>
      <c r="I26" s="21" t="e">
        <f>VLOOKUP(B26,#REF!,5)</f>
        <v>#REF!</v>
      </c>
      <c r="J26" s="14" t="e">
        <f>VLOOKUP(B26,#REF!,6)</f>
        <v>#REF!</v>
      </c>
      <c r="K26" s="22" t="e">
        <f>VLOOKUP(B26,#REF!,7)</f>
        <v>#REF!</v>
      </c>
      <c r="M26" s="30" t="e">
        <f t="shared" si="0"/>
        <v>#REF!</v>
      </c>
      <c r="N26" s="35" t="e">
        <f t="shared" si="1"/>
        <v>#REF!</v>
      </c>
      <c r="O26" s="21" t="e">
        <f t="shared" si="2"/>
        <v>#REF!</v>
      </c>
      <c r="P26" s="36" t="e">
        <f t="shared" si="3"/>
        <v>#REF!</v>
      </c>
    </row>
    <row r="27" spans="2:16" ht="15" x14ac:dyDescent="0.25">
      <c r="B27" s="17" t="s">
        <v>13</v>
      </c>
      <c r="C27" s="21" t="e">
        <f>VLOOKUP(B27,#REF!,2)</f>
        <v>#REF!</v>
      </c>
      <c r="D27" s="21" t="e">
        <f>VLOOKUP(B27,#REF!,3)</f>
        <v>#REF!</v>
      </c>
      <c r="E27" s="14" t="e">
        <f>VLOOKUP(B27,#REF!,4)</f>
        <v>#REF!</v>
      </c>
      <c r="F27" s="22" t="e">
        <f>VLOOKUP(B27,#REF!,5)</f>
        <v>#REF!</v>
      </c>
      <c r="H27" s="30" t="e">
        <f>VLOOKUP(B27,#REF!,4)</f>
        <v>#REF!</v>
      </c>
      <c r="I27" s="21" t="e">
        <f>VLOOKUP(B27,#REF!,5)</f>
        <v>#REF!</v>
      </c>
      <c r="J27" s="14" t="e">
        <f>VLOOKUP(B27,#REF!,6)</f>
        <v>#REF!</v>
      </c>
      <c r="K27" s="22" t="e">
        <f>VLOOKUP(B27,#REF!,7)</f>
        <v>#REF!</v>
      </c>
      <c r="M27" s="30" t="e">
        <f t="shared" si="0"/>
        <v>#REF!</v>
      </c>
      <c r="N27" s="35" t="e">
        <f t="shared" si="1"/>
        <v>#REF!</v>
      </c>
      <c r="O27" s="21" t="e">
        <f t="shared" si="2"/>
        <v>#REF!</v>
      </c>
      <c r="P27" s="36" t="e">
        <f t="shared" si="3"/>
        <v>#REF!</v>
      </c>
    </row>
    <row r="28" spans="2:16" ht="15" x14ac:dyDescent="0.25">
      <c r="B28" s="17" t="s">
        <v>14</v>
      </c>
      <c r="C28" s="21" t="e">
        <f>VLOOKUP(B28,#REF!,2)</f>
        <v>#REF!</v>
      </c>
      <c r="D28" s="21" t="e">
        <f>VLOOKUP(B28,#REF!,3)</f>
        <v>#REF!</v>
      </c>
      <c r="E28" s="14" t="e">
        <f>VLOOKUP(B28,#REF!,4)</f>
        <v>#REF!</v>
      </c>
      <c r="F28" s="22" t="e">
        <f>VLOOKUP(B28,#REF!,5)</f>
        <v>#REF!</v>
      </c>
      <c r="H28" s="30" t="e">
        <f>VLOOKUP(B28,#REF!,4)</f>
        <v>#REF!</v>
      </c>
      <c r="I28" s="21" t="e">
        <f>VLOOKUP(B28,#REF!,5)</f>
        <v>#REF!</v>
      </c>
      <c r="J28" s="14" t="e">
        <f>VLOOKUP(B28,#REF!,6)</f>
        <v>#REF!</v>
      </c>
      <c r="K28" s="22" t="e">
        <f>VLOOKUP(B28,#REF!,7)</f>
        <v>#REF!</v>
      </c>
      <c r="M28" s="30" t="e">
        <f t="shared" si="0"/>
        <v>#REF!</v>
      </c>
      <c r="N28" s="35" t="e">
        <f t="shared" si="1"/>
        <v>#REF!</v>
      </c>
      <c r="O28" s="21" t="e">
        <f t="shared" si="2"/>
        <v>#REF!</v>
      </c>
      <c r="P28" s="36" t="e">
        <f t="shared" si="3"/>
        <v>#REF!</v>
      </c>
    </row>
    <row r="29" spans="2:16" ht="15" x14ac:dyDescent="0.25">
      <c r="B29" s="17" t="s">
        <v>44</v>
      </c>
      <c r="C29" s="21" t="e">
        <f>VLOOKUP(B29,#REF!,2)</f>
        <v>#REF!</v>
      </c>
      <c r="D29" s="21" t="e">
        <f>VLOOKUP(B29,#REF!,3)</f>
        <v>#REF!</v>
      </c>
      <c r="E29" s="14" t="e">
        <f>VLOOKUP(B29,#REF!,4)</f>
        <v>#REF!</v>
      </c>
      <c r="F29" s="22" t="e">
        <f>VLOOKUP(B29,#REF!,5)</f>
        <v>#REF!</v>
      </c>
      <c r="H29" s="30" t="e">
        <f>VLOOKUP(B29,#REF!,4)</f>
        <v>#REF!</v>
      </c>
      <c r="I29" s="21" t="e">
        <f>VLOOKUP(B29,#REF!,5)</f>
        <v>#REF!</v>
      </c>
      <c r="J29" s="14" t="e">
        <f>VLOOKUP(B29,#REF!,6)</f>
        <v>#REF!</v>
      </c>
      <c r="K29" s="22" t="e">
        <f>VLOOKUP(B29,#REF!,7)</f>
        <v>#REF!</v>
      </c>
      <c r="M29" s="30" t="e">
        <f t="shared" si="0"/>
        <v>#REF!</v>
      </c>
      <c r="N29" s="35" t="e">
        <f t="shared" si="1"/>
        <v>#REF!</v>
      </c>
      <c r="O29" s="21" t="e">
        <f t="shared" si="2"/>
        <v>#REF!</v>
      </c>
      <c r="P29" s="36" t="e">
        <f t="shared" si="3"/>
        <v>#REF!</v>
      </c>
    </row>
    <row r="30" spans="2:16" ht="15" x14ac:dyDescent="0.25">
      <c r="B30" s="17" t="s">
        <v>29</v>
      </c>
      <c r="C30" s="21" t="e">
        <f>VLOOKUP(B30,#REF!,2)</f>
        <v>#REF!</v>
      </c>
      <c r="D30" s="21" t="e">
        <f>VLOOKUP(B30,#REF!,3)</f>
        <v>#REF!</v>
      </c>
      <c r="E30" s="14" t="e">
        <f>VLOOKUP(B30,#REF!,4)</f>
        <v>#REF!</v>
      </c>
      <c r="F30" s="22" t="e">
        <f>VLOOKUP(B30,#REF!,5)</f>
        <v>#REF!</v>
      </c>
      <c r="H30" s="30" t="e">
        <f>VLOOKUP(B30,#REF!,4)</f>
        <v>#REF!</v>
      </c>
      <c r="I30" s="21" t="e">
        <f>VLOOKUP(B30,#REF!,5)</f>
        <v>#REF!</v>
      </c>
      <c r="J30" s="14" t="e">
        <f>VLOOKUP(B30,#REF!,6)</f>
        <v>#REF!</v>
      </c>
      <c r="K30" s="22" t="e">
        <f>VLOOKUP(B30,#REF!,7)</f>
        <v>#REF!</v>
      </c>
      <c r="M30" s="30" t="e">
        <f t="shared" si="0"/>
        <v>#REF!</v>
      </c>
      <c r="N30" s="35" t="e">
        <f t="shared" si="1"/>
        <v>#REF!</v>
      </c>
      <c r="O30" s="21" t="e">
        <f t="shared" si="2"/>
        <v>#REF!</v>
      </c>
      <c r="P30" s="36" t="e">
        <f t="shared" si="3"/>
        <v>#REF!</v>
      </c>
    </row>
    <row r="31" spans="2:16" ht="15" x14ac:dyDescent="0.25">
      <c r="B31" s="17" t="s">
        <v>30</v>
      </c>
      <c r="C31" s="21" t="e">
        <f>VLOOKUP(B31,#REF!,2)</f>
        <v>#REF!</v>
      </c>
      <c r="D31" s="21" t="e">
        <f>VLOOKUP(B31,#REF!,3)</f>
        <v>#REF!</v>
      </c>
      <c r="E31" s="14" t="e">
        <f>VLOOKUP(B31,#REF!,4)</f>
        <v>#REF!</v>
      </c>
      <c r="F31" s="22" t="e">
        <f>VLOOKUP(B31,#REF!,5)</f>
        <v>#REF!</v>
      </c>
      <c r="H31" s="30" t="e">
        <f>VLOOKUP(B31,#REF!,4)</f>
        <v>#REF!</v>
      </c>
      <c r="I31" s="21" t="e">
        <f>VLOOKUP(B31,#REF!,5)</f>
        <v>#REF!</v>
      </c>
      <c r="J31" s="14" t="e">
        <f>VLOOKUP(B31,#REF!,6)</f>
        <v>#REF!</v>
      </c>
      <c r="K31" s="22" t="e">
        <f>VLOOKUP(B31,#REF!,7)</f>
        <v>#REF!</v>
      </c>
      <c r="M31" s="30" t="e">
        <f t="shared" si="0"/>
        <v>#REF!</v>
      </c>
      <c r="N31" s="35" t="e">
        <f t="shared" si="1"/>
        <v>#REF!</v>
      </c>
      <c r="O31" s="21" t="e">
        <f t="shared" si="2"/>
        <v>#REF!</v>
      </c>
      <c r="P31" s="36" t="e">
        <f t="shared" si="3"/>
        <v>#REF!</v>
      </c>
    </row>
    <row r="32" spans="2:16" ht="15" x14ac:dyDescent="0.25">
      <c r="B32" s="17" t="s">
        <v>55</v>
      </c>
      <c r="C32" s="21" t="e">
        <f>VLOOKUP(B32,#REF!,2)</f>
        <v>#REF!</v>
      </c>
      <c r="D32" s="21" t="e">
        <f>VLOOKUP(B32,#REF!,3)</f>
        <v>#REF!</v>
      </c>
      <c r="E32" s="14" t="e">
        <f>VLOOKUP(B32,#REF!,4)</f>
        <v>#REF!</v>
      </c>
      <c r="F32" s="22" t="e">
        <f>VLOOKUP(B32,#REF!,5)</f>
        <v>#REF!</v>
      </c>
      <c r="H32" s="30" t="e">
        <f>VLOOKUP(B32,#REF!,4)</f>
        <v>#REF!</v>
      </c>
      <c r="I32" s="21" t="e">
        <f>VLOOKUP(B32,#REF!,5)</f>
        <v>#REF!</v>
      </c>
      <c r="J32" s="14" t="e">
        <f>VLOOKUP(B32,#REF!,6)</f>
        <v>#REF!</v>
      </c>
      <c r="K32" s="22" t="e">
        <f>VLOOKUP(B32,#REF!,7)</f>
        <v>#REF!</v>
      </c>
      <c r="M32" s="30" t="e">
        <f t="shared" si="0"/>
        <v>#REF!</v>
      </c>
      <c r="N32" s="35" t="e">
        <f t="shared" si="1"/>
        <v>#REF!</v>
      </c>
      <c r="O32" s="21" t="e">
        <f t="shared" si="2"/>
        <v>#REF!</v>
      </c>
      <c r="P32" s="36" t="e">
        <f t="shared" si="3"/>
        <v>#REF!</v>
      </c>
    </row>
    <row r="33" spans="2:16" ht="15" x14ac:dyDescent="0.25">
      <c r="B33" s="17" t="s">
        <v>31</v>
      </c>
      <c r="C33" s="21" t="e">
        <f>VLOOKUP(B33,#REF!,2)</f>
        <v>#REF!</v>
      </c>
      <c r="D33" s="21" t="e">
        <f>VLOOKUP(B33,#REF!,3)</f>
        <v>#REF!</v>
      </c>
      <c r="E33" s="14" t="e">
        <f>VLOOKUP(B33,#REF!,4)</f>
        <v>#REF!</v>
      </c>
      <c r="F33" s="22" t="e">
        <f>VLOOKUP(B33,#REF!,5)</f>
        <v>#REF!</v>
      </c>
      <c r="H33" s="30" t="e">
        <f>VLOOKUP(B33,#REF!,4)</f>
        <v>#REF!</v>
      </c>
      <c r="I33" s="21" t="e">
        <f>VLOOKUP(B33,#REF!,5)</f>
        <v>#REF!</v>
      </c>
      <c r="J33" s="14" t="e">
        <f>VLOOKUP(B33,#REF!,6)</f>
        <v>#REF!</v>
      </c>
      <c r="K33" s="22" t="e">
        <f>VLOOKUP(B33,#REF!,7)</f>
        <v>#REF!</v>
      </c>
      <c r="M33" s="30" t="e">
        <f t="shared" si="0"/>
        <v>#REF!</v>
      </c>
      <c r="N33" s="35" t="e">
        <f t="shared" si="1"/>
        <v>#REF!</v>
      </c>
      <c r="O33" s="21" t="e">
        <f t="shared" si="2"/>
        <v>#REF!</v>
      </c>
      <c r="P33" s="36" t="e">
        <f t="shared" si="3"/>
        <v>#REF!</v>
      </c>
    </row>
    <row r="34" spans="2:16" ht="15" x14ac:dyDescent="0.25">
      <c r="B34" s="17" t="s">
        <v>15</v>
      </c>
      <c r="C34" s="21" t="e">
        <f>VLOOKUP(B34,#REF!,2)</f>
        <v>#REF!</v>
      </c>
      <c r="D34" s="21" t="e">
        <f>VLOOKUP(B34,#REF!,3)</f>
        <v>#REF!</v>
      </c>
      <c r="E34" s="14" t="e">
        <f>VLOOKUP(B34,#REF!,4)</f>
        <v>#REF!</v>
      </c>
      <c r="F34" s="22" t="e">
        <f>VLOOKUP(B34,#REF!,5)</f>
        <v>#REF!</v>
      </c>
      <c r="H34" s="30" t="e">
        <f>VLOOKUP(B34,#REF!,4)</f>
        <v>#REF!</v>
      </c>
      <c r="I34" s="21" t="e">
        <f>VLOOKUP(B34,#REF!,5)</f>
        <v>#REF!</v>
      </c>
      <c r="J34" s="14" t="e">
        <f>VLOOKUP(B34,#REF!,6)</f>
        <v>#REF!</v>
      </c>
      <c r="K34" s="22" t="e">
        <f>VLOOKUP(B34,#REF!,7)</f>
        <v>#REF!</v>
      </c>
      <c r="M34" s="30" t="e">
        <f t="shared" si="0"/>
        <v>#REF!</v>
      </c>
      <c r="N34" s="35" t="e">
        <f t="shared" si="1"/>
        <v>#REF!</v>
      </c>
      <c r="O34" s="21" t="e">
        <f t="shared" si="2"/>
        <v>#REF!</v>
      </c>
      <c r="P34" s="36" t="e">
        <f t="shared" si="3"/>
        <v>#REF!</v>
      </c>
    </row>
    <row r="35" spans="2:16" ht="15" x14ac:dyDescent="0.25">
      <c r="B35" s="17" t="s">
        <v>56</v>
      </c>
      <c r="C35" s="21" t="e">
        <f>VLOOKUP(B35,#REF!,2)</f>
        <v>#REF!</v>
      </c>
      <c r="D35" s="21" t="e">
        <f>VLOOKUP(B35,#REF!,3)</f>
        <v>#REF!</v>
      </c>
      <c r="E35" s="14" t="e">
        <f>VLOOKUP(B35,#REF!,4)</f>
        <v>#REF!</v>
      </c>
      <c r="F35" s="22" t="e">
        <f>VLOOKUP(B35,#REF!,5)</f>
        <v>#REF!</v>
      </c>
      <c r="H35" s="30" t="e">
        <f>VLOOKUP(B35,#REF!,4)</f>
        <v>#REF!</v>
      </c>
      <c r="I35" s="21" t="e">
        <f>VLOOKUP(B35,#REF!,5)</f>
        <v>#REF!</v>
      </c>
      <c r="J35" s="14" t="e">
        <f>VLOOKUP(B35,#REF!,6)</f>
        <v>#REF!</v>
      </c>
      <c r="K35" s="22" t="e">
        <f>VLOOKUP(B35,#REF!,7)</f>
        <v>#REF!</v>
      </c>
      <c r="M35" s="30" t="e">
        <f t="shared" ref="M35:M60" si="4">H35-C35</f>
        <v>#REF!</v>
      </c>
      <c r="N35" s="35" t="e">
        <f t="shared" ref="N35:N60" si="5">M35/C35</f>
        <v>#REF!</v>
      </c>
      <c r="O35" s="21" t="e">
        <f t="shared" ref="O35:O60" si="6">I35-D35</f>
        <v>#REF!</v>
      </c>
      <c r="P35" s="36" t="e">
        <f t="shared" ref="P35:P61" si="7">O35/D35</f>
        <v>#REF!</v>
      </c>
    </row>
    <row r="36" spans="2:16" ht="15" x14ac:dyDescent="0.25">
      <c r="B36" s="17" t="s">
        <v>57</v>
      </c>
      <c r="C36" s="21" t="e">
        <f>VLOOKUP(B36,#REF!,2)</f>
        <v>#REF!</v>
      </c>
      <c r="D36" s="21" t="e">
        <f>VLOOKUP(B36,#REF!,3)</f>
        <v>#REF!</v>
      </c>
      <c r="E36" s="14" t="e">
        <f>VLOOKUP(B36,#REF!,4)</f>
        <v>#REF!</v>
      </c>
      <c r="F36" s="22" t="e">
        <f>VLOOKUP(B36,#REF!,5)</f>
        <v>#REF!</v>
      </c>
      <c r="H36" s="30" t="e">
        <f>VLOOKUP(B36,#REF!,4)</f>
        <v>#REF!</v>
      </c>
      <c r="I36" s="21" t="e">
        <f>VLOOKUP(B36,#REF!,5)</f>
        <v>#REF!</v>
      </c>
      <c r="J36" s="14" t="e">
        <f>VLOOKUP(B36,#REF!,6)</f>
        <v>#REF!</v>
      </c>
      <c r="K36" s="22" t="e">
        <f>VLOOKUP(B36,#REF!,7)</f>
        <v>#REF!</v>
      </c>
      <c r="M36" s="30" t="e">
        <f t="shared" si="4"/>
        <v>#REF!</v>
      </c>
      <c r="N36" s="35" t="e">
        <f t="shared" si="5"/>
        <v>#REF!</v>
      </c>
      <c r="O36" s="21" t="e">
        <f t="shared" si="6"/>
        <v>#REF!</v>
      </c>
      <c r="P36" s="36" t="e">
        <f t="shared" si="7"/>
        <v>#REF!</v>
      </c>
    </row>
    <row r="37" spans="2:16" ht="15" x14ac:dyDescent="0.25">
      <c r="B37" s="17" t="s">
        <v>16</v>
      </c>
      <c r="C37" s="21" t="e">
        <f>VLOOKUP(B37,#REF!,2)</f>
        <v>#REF!</v>
      </c>
      <c r="D37" s="21" t="e">
        <f>VLOOKUP(B37,#REF!,3)</f>
        <v>#REF!</v>
      </c>
      <c r="E37" s="14" t="e">
        <f>VLOOKUP(B37,#REF!,4)</f>
        <v>#REF!</v>
      </c>
      <c r="F37" s="22" t="e">
        <f>VLOOKUP(B37,#REF!,5)</f>
        <v>#REF!</v>
      </c>
      <c r="H37" s="30" t="e">
        <f>VLOOKUP(B37,#REF!,4)</f>
        <v>#REF!</v>
      </c>
      <c r="I37" s="21" t="e">
        <f>VLOOKUP(B37,#REF!,5)</f>
        <v>#REF!</v>
      </c>
      <c r="J37" s="14" t="e">
        <f>VLOOKUP(B37,#REF!,6)</f>
        <v>#REF!</v>
      </c>
      <c r="K37" s="22" t="e">
        <f>VLOOKUP(B37,#REF!,7)</f>
        <v>#REF!</v>
      </c>
      <c r="M37" s="30" t="e">
        <f t="shared" si="4"/>
        <v>#REF!</v>
      </c>
      <c r="N37" s="35" t="e">
        <f t="shared" si="5"/>
        <v>#REF!</v>
      </c>
      <c r="O37" s="21" t="e">
        <f t="shared" si="6"/>
        <v>#REF!</v>
      </c>
      <c r="P37" s="36" t="e">
        <f t="shared" si="7"/>
        <v>#REF!</v>
      </c>
    </row>
    <row r="38" spans="2:16" ht="15" x14ac:dyDescent="0.25">
      <c r="B38" s="17" t="s">
        <v>58</v>
      </c>
      <c r="C38" s="21" t="e">
        <f>VLOOKUP(B38,#REF!,2)</f>
        <v>#REF!</v>
      </c>
      <c r="D38" s="21" t="e">
        <f>VLOOKUP(B38,#REF!,3)</f>
        <v>#REF!</v>
      </c>
      <c r="E38" s="14" t="e">
        <f>VLOOKUP(B38,#REF!,4)</f>
        <v>#REF!</v>
      </c>
      <c r="F38" s="22" t="e">
        <f>VLOOKUP(B38,#REF!,5)</f>
        <v>#REF!</v>
      </c>
      <c r="H38" s="30" t="e">
        <f>VLOOKUP(B38,#REF!,4)</f>
        <v>#REF!</v>
      </c>
      <c r="I38" s="21" t="e">
        <f>VLOOKUP(B38,#REF!,5)</f>
        <v>#REF!</v>
      </c>
      <c r="J38" s="14" t="e">
        <f>VLOOKUP(B38,#REF!,6)</f>
        <v>#REF!</v>
      </c>
      <c r="K38" s="22" t="e">
        <f>VLOOKUP(B38,#REF!,7)</f>
        <v>#REF!</v>
      </c>
      <c r="M38" s="30" t="e">
        <f t="shared" si="4"/>
        <v>#REF!</v>
      </c>
      <c r="N38" s="35" t="e">
        <f t="shared" si="5"/>
        <v>#REF!</v>
      </c>
      <c r="O38" s="21" t="e">
        <f t="shared" si="6"/>
        <v>#REF!</v>
      </c>
      <c r="P38" s="36" t="e">
        <f t="shared" si="7"/>
        <v>#REF!</v>
      </c>
    </row>
    <row r="39" spans="2:16" ht="15" x14ac:dyDescent="0.25">
      <c r="B39" s="17" t="s">
        <v>59</v>
      </c>
      <c r="C39" s="21" t="e">
        <f>VLOOKUP(B39,#REF!,2)</f>
        <v>#REF!</v>
      </c>
      <c r="D39" s="21" t="e">
        <f>VLOOKUP(B39,#REF!,3)</f>
        <v>#REF!</v>
      </c>
      <c r="E39" s="14" t="e">
        <f>VLOOKUP(B39,#REF!,4)</f>
        <v>#REF!</v>
      </c>
      <c r="F39" s="22" t="e">
        <f>VLOOKUP(B39,#REF!,5)</f>
        <v>#REF!</v>
      </c>
      <c r="H39" s="30" t="e">
        <f>VLOOKUP(B39,#REF!,4)</f>
        <v>#REF!</v>
      </c>
      <c r="I39" s="21" t="e">
        <f>VLOOKUP(B39,#REF!,5)</f>
        <v>#REF!</v>
      </c>
      <c r="J39" s="14" t="e">
        <f>VLOOKUP(B39,#REF!,6)</f>
        <v>#REF!</v>
      </c>
      <c r="K39" s="22" t="e">
        <f>VLOOKUP(B39,#REF!,7)</f>
        <v>#REF!</v>
      </c>
      <c r="M39" s="30" t="e">
        <f t="shared" si="4"/>
        <v>#REF!</v>
      </c>
      <c r="N39" s="35" t="e">
        <f t="shared" si="5"/>
        <v>#REF!</v>
      </c>
      <c r="O39" s="21" t="e">
        <f t="shared" si="6"/>
        <v>#REF!</v>
      </c>
      <c r="P39" s="36" t="e">
        <f t="shared" si="7"/>
        <v>#REF!</v>
      </c>
    </row>
    <row r="40" spans="2:16" ht="15" x14ac:dyDescent="0.25">
      <c r="B40" s="17" t="s">
        <v>60</v>
      </c>
      <c r="C40" s="21" t="e">
        <f>VLOOKUP(B40,#REF!,2)</f>
        <v>#REF!</v>
      </c>
      <c r="D40" s="21" t="e">
        <f>VLOOKUP(B40,#REF!,3)</f>
        <v>#REF!</v>
      </c>
      <c r="E40" s="14" t="e">
        <f>VLOOKUP(B40,#REF!,4)</f>
        <v>#REF!</v>
      </c>
      <c r="F40" s="22" t="e">
        <f>VLOOKUP(B40,#REF!,5)</f>
        <v>#REF!</v>
      </c>
      <c r="H40" s="30" t="e">
        <f>VLOOKUP(B40,#REF!,4)</f>
        <v>#REF!</v>
      </c>
      <c r="I40" s="21" t="e">
        <f>VLOOKUP(B40,#REF!,5)</f>
        <v>#REF!</v>
      </c>
      <c r="J40" s="14" t="e">
        <f>VLOOKUP(B40,#REF!,6)</f>
        <v>#REF!</v>
      </c>
      <c r="K40" s="22" t="e">
        <f>VLOOKUP(B40,#REF!,7)</f>
        <v>#REF!</v>
      </c>
      <c r="M40" s="30" t="e">
        <f t="shared" si="4"/>
        <v>#REF!</v>
      </c>
      <c r="N40" s="35" t="e">
        <f t="shared" si="5"/>
        <v>#REF!</v>
      </c>
      <c r="O40" s="21" t="e">
        <f t="shared" si="6"/>
        <v>#REF!</v>
      </c>
      <c r="P40" s="36" t="e">
        <f t="shared" si="7"/>
        <v>#REF!</v>
      </c>
    </row>
    <row r="41" spans="2:16" ht="15" x14ac:dyDescent="0.25">
      <c r="B41" s="17" t="s">
        <v>45</v>
      </c>
      <c r="C41" s="21" t="e">
        <f>VLOOKUP(B41,#REF!,2)</f>
        <v>#REF!</v>
      </c>
      <c r="D41" s="21" t="e">
        <f>VLOOKUP(B41,#REF!,3)</f>
        <v>#REF!</v>
      </c>
      <c r="E41" s="14" t="e">
        <f>VLOOKUP(B41,#REF!,4)</f>
        <v>#REF!</v>
      </c>
      <c r="F41" s="22" t="e">
        <f>VLOOKUP(B41,#REF!,5)</f>
        <v>#REF!</v>
      </c>
      <c r="H41" s="30" t="e">
        <f>VLOOKUP(B41,#REF!,4)</f>
        <v>#REF!</v>
      </c>
      <c r="I41" s="21" t="e">
        <f>VLOOKUP(B41,#REF!,5)</f>
        <v>#REF!</v>
      </c>
      <c r="J41" s="14" t="e">
        <f>VLOOKUP(B41,#REF!,6)</f>
        <v>#REF!</v>
      </c>
      <c r="K41" s="22" t="e">
        <f>VLOOKUP(B41,#REF!,7)</f>
        <v>#REF!</v>
      </c>
      <c r="M41" s="30" t="e">
        <f t="shared" si="4"/>
        <v>#REF!</v>
      </c>
      <c r="N41" s="35" t="e">
        <f t="shared" si="5"/>
        <v>#REF!</v>
      </c>
      <c r="O41" s="21" t="e">
        <f t="shared" si="6"/>
        <v>#REF!</v>
      </c>
      <c r="P41" s="36" t="e">
        <f t="shared" si="7"/>
        <v>#REF!</v>
      </c>
    </row>
    <row r="42" spans="2:16" ht="15" x14ac:dyDescent="0.25">
      <c r="B42" s="17" t="s">
        <v>32</v>
      </c>
      <c r="C42" s="21" t="e">
        <f>VLOOKUP(B42,#REF!,2)</f>
        <v>#REF!</v>
      </c>
      <c r="D42" s="21" t="e">
        <f>VLOOKUP(B42,#REF!,3)</f>
        <v>#REF!</v>
      </c>
      <c r="E42" s="14" t="e">
        <f>VLOOKUP(B42,#REF!,4)</f>
        <v>#REF!</v>
      </c>
      <c r="F42" s="22" t="e">
        <f>VLOOKUP(B42,#REF!,5)</f>
        <v>#REF!</v>
      </c>
      <c r="H42" s="30" t="e">
        <f>VLOOKUP(B42,#REF!,4)</f>
        <v>#REF!</v>
      </c>
      <c r="I42" s="21" t="e">
        <f>VLOOKUP(B42,#REF!,5)</f>
        <v>#REF!</v>
      </c>
      <c r="J42" s="14" t="e">
        <f>VLOOKUP(B42,#REF!,6)</f>
        <v>#REF!</v>
      </c>
      <c r="K42" s="22" t="e">
        <f>VLOOKUP(B42,#REF!,7)</f>
        <v>#REF!</v>
      </c>
      <c r="M42" s="30" t="e">
        <f t="shared" si="4"/>
        <v>#REF!</v>
      </c>
      <c r="N42" s="35" t="e">
        <f t="shared" si="5"/>
        <v>#REF!</v>
      </c>
      <c r="O42" s="21" t="e">
        <f t="shared" si="6"/>
        <v>#REF!</v>
      </c>
      <c r="P42" s="36" t="e">
        <f t="shared" si="7"/>
        <v>#REF!</v>
      </c>
    </row>
    <row r="43" spans="2:16" ht="15" x14ac:dyDescent="0.25">
      <c r="B43" s="17" t="s">
        <v>46</v>
      </c>
      <c r="C43" s="21" t="e">
        <f>VLOOKUP(B43,#REF!,2)</f>
        <v>#REF!</v>
      </c>
      <c r="D43" s="21" t="e">
        <f>VLOOKUP(B43,#REF!,3)</f>
        <v>#REF!</v>
      </c>
      <c r="E43" s="14" t="e">
        <f>VLOOKUP(B43,#REF!,4)</f>
        <v>#REF!</v>
      </c>
      <c r="F43" s="22" t="e">
        <f>VLOOKUP(B43,#REF!,5)</f>
        <v>#REF!</v>
      </c>
      <c r="H43" s="30" t="e">
        <f>VLOOKUP(B43,#REF!,4)</f>
        <v>#REF!</v>
      </c>
      <c r="I43" s="21" t="e">
        <f>VLOOKUP(B43,#REF!,5)</f>
        <v>#REF!</v>
      </c>
      <c r="J43" s="14" t="e">
        <f>VLOOKUP(B43,#REF!,6)</f>
        <v>#REF!</v>
      </c>
      <c r="K43" s="22" t="e">
        <f>VLOOKUP(B43,#REF!,7)</f>
        <v>#REF!</v>
      </c>
      <c r="M43" s="30" t="e">
        <f t="shared" si="4"/>
        <v>#REF!</v>
      </c>
      <c r="N43" s="35" t="e">
        <f t="shared" si="5"/>
        <v>#REF!</v>
      </c>
      <c r="O43" s="21" t="e">
        <f t="shared" si="6"/>
        <v>#REF!</v>
      </c>
      <c r="P43" s="36" t="e">
        <f t="shared" si="7"/>
        <v>#REF!</v>
      </c>
    </row>
    <row r="44" spans="2:16" ht="15" x14ac:dyDescent="0.25">
      <c r="B44" s="17" t="s">
        <v>47</v>
      </c>
      <c r="C44" s="21" t="e">
        <f>VLOOKUP(B44,#REF!,2)</f>
        <v>#REF!</v>
      </c>
      <c r="D44" s="21" t="e">
        <f>VLOOKUP(B44,#REF!,3)</f>
        <v>#REF!</v>
      </c>
      <c r="E44" s="14" t="e">
        <f>VLOOKUP(B44,#REF!,4)</f>
        <v>#REF!</v>
      </c>
      <c r="F44" s="22" t="e">
        <f>VLOOKUP(B44,#REF!,5)</f>
        <v>#REF!</v>
      </c>
      <c r="H44" s="30" t="e">
        <f>VLOOKUP(B44,#REF!,4)</f>
        <v>#REF!</v>
      </c>
      <c r="I44" s="21" t="e">
        <f>VLOOKUP(B44,#REF!,5)</f>
        <v>#REF!</v>
      </c>
      <c r="J44" s="14" t="e">
        <f>VLOOKUP(B44,#REF!,6)</f>
        <v>#REF!</v>
      </c>
      <c r="K44" s="22" t="e">
        <f>VLOOKUP(B44,#REF!,7)</f>
        <v>#REF!</v>
      </c>
      <c r="M44" s="30" t="e">
        <f t="shared" si="4"/>
        <v>#REF!</v>
      </c>
      <c r="N44" s="35" t="e">
        <f t="shared" si="5"/>
        <v>#REF!</v>
      </c>
      <c r="O44" s="21" t="e">
        <f t="shared" si="6"/>
        <v>#REF!</v>
      </c>
      <c r="P44" s="36" t="e">
        <f t="shared" si="7"/>
        <v>#REF!</v>
      </c>
    </row>
    <row r="45" spans="2:16" ht="15" x14ac:dyDescent="0.25">
      <c r="B45" s="17" t="s">
        <v>61</v>
      </c>
      <c r="C45" s="21" t="e">
        <f>VLOOKUP(B45,#REF!,2)</f>
        <v>#REF!</v>
      </c>
      <c r="D45" s="21" t="e">
        <f>VLOOKUP(B45,#REF!,3)</f>
        <v>#REF!</v>
      </c>
      <c r="E45" s="14" t="e">
        <f>VLOOKUP(B45,#REF!,4)</f>
        <v>#REF!</v>
      </c>
      <c r="F45" s="22" t="e">
        <f>VLOOKUP(B45,#REF!,5)</f>
        <v>#REF!</v>
      </c>
      <c r="H45" s="30" t="e">
        <f>VLOOKUP(B45,#REF!,4)</f>
        <v>#REF!</v>
      </c>
      <c r="I45" s="21" t="e">
        <f>VLOOKUP(B45,#REF!,5)</f>
        <v>#REF!</v>
      </c>
      <c r="J45" s="14" t="e">
        <f>VLOOKUP(B45,#REF!,6)</f>
        <v>#REF!</v>
      </c>
      <c r="K45" s="22" t="e">
        <f>VLOOKUP(B45,#REF!,7)</f>
        <v>#REF!</v>
      </c>
      <c r="M45" s="30" t="e">
        <f t="shared" si="4"/>
        <v>#REF!</v>
      </c>
      <c r="N45" s="35" t="e">
        <f t="shared" si="5"/>
        <v>#REF!</v>
      </c>
      <c r="O45" s="21" t="e">
        <f t="shared" si="6"/>
        <v>#REF!</v>
      </c>
      <c r="P45" s="36" t="e">
        <f t="shared" si="7"/>
        <v>#REF!</v>
      </c>
    </row>
    <row r="46" spans="2:16" ht="15" x14ac:dyDescent="0.25">
      <c r="B46" s="17" t="s">
        <v>33</v>
      </c>
      <c r="C46" s="21" t="e">
        <f>VLOOKUP(B46,#REF!,2)</f>
        <v>#REF!</v>
      </c>
      <c r="D46" s="21" t="e">
        <f>VLOOKUP(B46,#REF!,3)</f>
        <v>#REF!</v>
      </c>
      <c r="E46" s="14" t="e">
        <f>VLOOKUP(B46,#REF!,4)</f>
        <v>#REF!</v>
      </c>
      <c r="F46" s="22" t="e">
        <f>VLOOKUP(B46,#REF!,5)</f>
        <v>#REF!</v>
      </c>
      <c r="H46" s="30" t="e">
        <f>VLOOKUP(B46,#REF!,4)</f>
        <v>#REF!</v>
      </c>
      <c r="I46" s="21" t="e">
        <f>VLOOKUP(B46,#REF!,5)</f>
        <v>#REF!</v>
      </c>
      <c r="J46" s="14" t="e">
        <f>VLOOKUP(B46,#REF!,6)</f>
        <v>#REF!</v>
      </c>
      <c r="K46" s="22" t="e">
        <f>VLOOKUP(B46,#REF!,7)</f>
        <v>#REF!</v>
      </c>
      <c r="M46" s="30" t="e">
        <f t="shared" si="4"/>
        <v>#REF!</v>
      </c>
      <c r="N46" s="35" t="e">
        <f t="shared" si="5"/>
        <v>#REF!</v>
      </c>
      <c r="O46" s="21" t="e">
        <f t="shared" si="6"/>
        <v>#REF!</v>
      </c>
      <c r="P46" s="36" t="e">
        <f t="shared" si="7"/>
        <v>#REF!</v>
      </c>
    </row>
    <row r="47" spans="2:16" ht="15" x14ac:dyDescent="0.25">
      <c r="B47" s="17" t="s">
        <v>34</v>
      </c>
      <c r="C47" s="21" t="e">
        <f>VLOOKUP(B47,#REF!,2)</f>
        <v>#REF!</v>
      </c>
      <c r="D47" s="21" t="e">
        <f>VLOOKUP(B47,#REF!,3)</f>
        <v>#REF!</v>
      </c>
      <c r="E47" s="14" t="e">
        <f>VLOOKUP(B47,#REF!,4)</f>
        <v>#REF!</v>
      </c>
      <c r="F47" s="22" t="e">
        <f>VLOOKUP(B47,#REF!,5)</f>
        <v>#REF!</v>
      </c>
      <c r="H47" s="30" t="e">
        <f>VLOOKUP(B47,#REF!,4)</f>
        <v>#REF!</v>
      </c>
      <c r="I47" s="21" t="e">
        <f>VLOOKUP(B47,#REF!,5)</f>
        <v>#REF!</v>
      </c>
      <c r="J47" s="14" t="e">
        <f>VLOOKUP(B47,#REF!,6)</f>
        <v>#REF!</v>
      </c>
      <c r="K47" s="22" t="e">
        <f>VLOOKUP(B47,#REF!,7)</f>
        <v>#REF!</v>
      </c>
      <c r="M47" s="30" t="e">
        <f t="shared" si="4"/>
        <v>#REF!</v>
      </c>
      <c r="N47" s="35" t="e">
        <f t="shared" si="5"/>
        <v>#REF!</v>
      </c>
      <c r="O47" s="21" t="e">
        <f t="shared" si="6"/>
        <v>#REF!</v>
      </c>
      <c r="P47" s="36" t="e">
        <f t="shared" si="7"/>
        <v>#REF!</v>
      </c>
    </row>
    <row r="48" spans="2:16" ht="15" x14ac:dyDescent="0.25">
      <c r="B48" s="17" t="s">
        <v>17</v>
      </c>
      <c r="C48" s="21" t="e">
        <f>VLOOKUP(B48,#REF!,2)</f>
        <v>#REF!</v>
      </c>
      <c r="D48" s="21" t="e">
        <f>VLOOKUP(B48,#REF!,3)</f>
        <v>#REF!</v>
      </c>
      <c r="E48" s="14" t="e">
        <f>VLOOKUP(B48,#REF!,4)</f>
        <v>#REF!</v>
      </c>
      <c r="F48" s="22" t="e">
        <f>VLOOKUP(B48,#REF!,5)</f>
        <v>#REF!</v>
      </c>
      <c r="H48" s="30" t="e">
        <f>VLOOKUP(B48,#REF!,4)</f>
        <v>#REF!</v>
      </c>
      <c r="I48" s="21" t="e">
        <f>VLOOKUP(B48,#REF!,5)</f>
        <v>#REF!</v>
      </c>
      <c r="J48" s="14" t="e">
        <f>VLOOKUP(B48,#REF!,6)</f>
        <v>#REF!</v>
      </c>
      <c r="K48" s="22" t="e">
        <f>VLOOKUP(B48,#REF!,7)</f>
        <v>#REF!</v>
      </c>
      <c r="M48" s="30" t="e">
        <f t="shared" si="4"/>
        <v>#REF!</v>
      </c>
      <c r="N48" s="35" t="e">
        <f t="shared" si="5"/>
        <v>#REF!</v>
      </c>
      <c r="O48" s="21" t="e">
        <f t="shared" si="6"/>
        <v>#REF!</v>
      </c>
      <c r="P48" s="36" t="e">
        <f t="shared" si="7"/>
        <v>#REF!</v>
      </c>
    </row>
    <row r="49" spans="2:16" ht="15" x14ac:dyDescent="0.25">
      <c r="B49" s="17" t="s">
        <v>35</v>
      </c>
      <c r="C49" s="21" t="e">
        <f>VLOOKUP(B49,#REF!,2)</f>
        <v>#REF!</v>
      </c>
      <c r="D49" s="21" t="e">
        <f>VLOOKUP(B49,#REF!,3)</f>
        <v>#REF!</v>
      </c>
      <c r="E49" s="14" t="e">
        <f>VLOOKUP(B49,#REF!,4)</f>
        <v>#REF!</v>
      </c>
      <c r="F49" s="22" t="e">
        <f>VLOOKUP(B49,#REF!,5)</f>
        <v>#REF!</v>
      </c>
      <c r="H49" s="30" t="e">
        <f>VLOOKUP(B49,#REF!,4)</f>
        <v>#REF!</v>
      </c>
      <c r="I49" s="21" t="e">
        <f>VLOOKUP(B49,#REF!,5)</f>
        <v>#REF!</v>
      </c>
      <c r="J49" s="14" t="e">
        <f>VLOOKUP(B49,#REF!,6)</f>
        <v>#REF!</v>
      </c>
      <c r="K49" s="22" t="e">
        <f>VLOOKUP(B49,#REF!,7)</f>
        <v>#REF!</v>
      </c>
      <c r="M49" s="30" t="e">
        <f t="shared" si="4"/>
        <v>#REF!</v>
      </c>
      <c r="N49" s="35" t="e">
        <f t="shared" si="5"/>
        <v>#REF!</v>
      </c>
      <c r="O49" s="21" t="e">
        <f t="shared" si="6"/>
        <v>#REF!</v>
      </c>
      <c r="P49" s="36" t="e">
        <f t="shared" si="7"/>
        <v>#REF!</v>
      </c>
    </row>
    <row r="50" spans="2:16" ht="15" x14ac:dyDescent="0.25">
      <c r="B50" s="17" t="s">
        <v>48</v>
      </c>
      <c r="C50" s="21" t="e">
        <f>VLOOKUP(B50,#REF!,2)</f>
        <v>#REF!</v>
      </c>
      <c r="D50" s="21" t="e">
        <f>VLOOKUP(B50,#REF!,3)</f>
        <v>#REF!</v>
      </c>
      <c r="E50" s="14" t="e">
        <f>VLOOKUP(B50,#REF!,4)</f>
        <v>#REF!</v>
      </c>
      <c r="F50" s="22" t="e">
        <f>VLOOKUP(B50,#REF!,5)</f>
        <v>#REF!</v>
      </c>
      <c r="H50" s="30" t="e">
        <f>VLOOKUP(B50,#REF!,4)</f>
        <v>#REF!</v>
      </c>
      <c r="I50" s="21" t="e">
        <f>VLOOKUP(B50,#REF!,5)</f>
        <v>#REF!</v>
      </c>
      <c r="J50" s="14" t="e">
        <f>VLOOKUP(B50,#REF!,6)</f>
        <v>#REF!</v>
      </c>
      <c r="K50" s="22" t="e">
        <f>VLOOKUP(B50,#REF!,7)</f>
        <v>#REF!</v>
      </c>
      <c r="M50" s="30" t="e">
        <f t="shared" si="4"/>
        <v>#REF!</v>
      </c>
      <c r="N50" s="35" t="e">
        <f t="shared" si="5"/>
        <v>#REF!</v>
      </c>
      <c r="O50" s="21" t="e">
        <f t="shared" si="6"/>
        <v>#REF!</v>
      </c>
      <c r="P50" s="36" t="e">
        <f t="shared" si="7"/>
        <v>#REF!</v>
      </c>
    </row>
    <row r="51" spans="2:16" ht="15" x14ac:dyDescent="0.25">
      <c r="B51" s="17" t="s">
        <v>49</v>
      </c>
      <c r="C51" s="21" t="e">
        <f>VLOOKUP(B51,#REF!,2)</f>
        <v>#REF!</v>
      </c>
      <c r="D51" s="21" t="e">
        <f>VLOOKUP(B51,#REF!,3)</f>
        <v>#REF!</v>
      </c>
      <c r="E51" s="14" t="e">
        <f>VLOOKUP(B51,#REF!,4)</f>
        <v>#REF!</v>
      </c>
      <c r="F51" s="22" t="e">
        <f>VLOOKUP(B51,#REF!,5)</f>
        <v>#REF!</v>
      </c>
      <c r="H51" s="30" t="e">
        <f>VLOOKUP(B51,#REF!,4)</f>
        <v>#REF!</v>
      </c>
      <c r="I51" s="21" t="e">
        <f>VLOOKUP(B51,#REF!,5)</f>
        <v>#REF!</v>
      </c>
      <c r="J51" s="14" t="e">
        <f>VLOOKUP(B51,#REF!,6)</f>
        <v>#REF!</v>
      </c>
      <c r="K51" s="22" t="e">
        <f>VLOOKUP(B51,#REF!,7)</f>
        <v>#REF!</v>
      </c>
      <c r="M51" s="30" t="e">
        <f t="shared" si="4"/>
        <v>#REF!</v>
      </c>
      <c r="N51" s="35" t="e">
        <f t="shared" si="5"/>
        <v>#REF!</v>
      </c>
      <c r="O51" s="21" t="e">
        <f t="shared" si="6"/>
        <v>#REF!</v>
      </c>
      <c r="P51" s="36" t="e">
        <f t="shared" si="7"/>
        <v>#REF!</v>
      </c>
    </row>
    <row r="52" spans="2:16" ht="15" x14ac:dyDescent="0.25">
      <c r="B52" s="17" t="s">
        <v>50</v>
      </c>
      <c r="C52" s="21" t="e">
        <f>VLOOKUP(B52,#REF!,2)</f>
        <v>#REF!</v>
      </c>
      <c r="D52" s="21" t="e">
        <f>VLOOKUP(B52,#REF!,3)</f>
        <v>#REF!</v>
      </c>
      <c r="E52" s="14" t="e">
        <f>VLOOKUP(B52,#REF!,4)</f>
        <v>#REF!</v>
      </c>
      <c r="F52" s="22" t="e">
        <f>VLOOKUP(B52,#REF!,5)</f>
        <v>#REF!</v>
      </c>
      <c r="H52" s="30" t="e">
        <f>VLOOKUP(B52,#REF!,4)</f>
        <v>#REF!</v>
      </c>
      <c r="I52" s="21" t="e">
        <f>VLOOKUP(B52,#REF!,5)</f>
        <v>#REF!</v>
      </c>
      <c r="J52" s="14" t="e">
        <f>VLOOKUP(B52,#REF!,6)</f>
        <v>#REF!</v>
      </c>
      <c r="K52" s="22" t="e">
        <f>VLOOKUP(B52,#REF!,7)</f>
        <v>#REF!</v>
      </c>
      <c r="M52" s="30" t="e">
        <f t="shared" si="4"/>
        <v>#REF!</v>
      </c>
      <c r="N52" s="35" t="e">
        <f t="shared" si="5"/>
        <v>#REF!</v>
      </c>
      <c r="O52" s="21" t="e">
        <f t="shared" si="6"/>
        <v>#REF!</v>
      </c>
      <c r="P52" s="36" t="e">
        <f t="shared" si="7"/>
        <v>#REF!</v>
      </c>
    </row>
    <row r="53" spans="2:16" ht="15" x14ac:dyDescent="0.25">
      <c r="B53" s="17" t="s">
        <v>36</v>
      </c>
      <c r="C53" s="21" t="e">
        <f>VLOOKUP(B53,#REF!,2)</f>
        <v>#REF!</v>
      </c>
      <c r="D53" s="21" t="e">
        <f>VLOOKUP(B53,#REF!,3)</f>
        <v>#REF!</v>
      </c>
      <c r="E53" s="14" t="e">
        <f>VLOOKUP(B53,#REF!,4)</f>
        <v>#REF!</v>
      </c>
      <c r="F53" s="22" t="e">
        <f>VLOOKUP(B53,#REF!,5)</f>
        <v>#REF!</v>
      </c>
      <c r="H53" s="30" t="e">
        <f>VLOOKUP(B53,#REF!,4)</f>
        <v>#REF!</v>
      </c>
      <c r="I53" s="21" t="e">
        <f>VLOOKUP(B53,#REF!,5)</f>
        <v>#REF!</v>
      </c>
      <c r="J53" s="14" t="e">
        <f>VLOOKUP(B53,#REF!,6)</f>
        <v>#REF!</v>
      </c>
      <c r="K53" s="22" t="e">
        <f>VLOOKUP(B53,#REF!,7)</f>
        <v>#REF!</v>
      </c>
      <c r="M53" s="30" t="e">
        <f t="shared" si="4"/>
        <v>#REF!</v>
      </c>
      <c r="N53" s="35" t="e">
        <f t="shared" si="5"/>
        <v>#REF!</v>
      </c>
      <c r="O53" s="21" t="e">
        <f t="shared" si="6"/>
        <v>#REF!</v>
      </c>
      <c r="P53" s="36" t="e">
        <f t="shared" si="7"/>
        <v>#REF!</v>
      </c>
    </row>
    <row r="54" spans="2:16" ht="15" x14ac:dyDescent="0.25">
      <c r="B54" s="17" t="s">
        <v>37</v>
      </c>
      <c r="C54" s="21" t="e">
        <f>VLOOKUP(B54,#REF!,2)</f>
        <v>#REF!</v>
      </c>
      <c r="D54" s="21" t="e">
        <f>VLOOKUP(B54,#REF!,3)</f>
        <v>#REF!</v>
      </c>
      <c r="E54" s="14" t="e">
        <f>VLOOKUP(B54,#REF!,4)</f>
        <v>#REF!</v>
      </c>
      <c r="F54" s="22" t="e">
        <f>VLOOKUP(B54,#REF!,5)</f>
        <v>#REF!</v>
      </c>
      <c r="H54" s="30" t="e">
        <f>VLOOKUP(B54,#REF!,4)</f>
        <v>#REF!</v>
      </c>
      <c r="I54" s="21" t="e">
        <f>VLOOKUP(B54,#REF!,5)</f>
        <v>#REF!</v>
      </c>
      <c r="J54" s="14" t="e">
        <f>VLOOKUP(B54,#REF!,6)</f>
        <v>#REF!</v>
      </c>
      <c r="K54" s="22" t="e">
        <f>VLOOKUP(B54,#REF!,7)</f>
        <v>#REF!</v>
      </c>
      <c r="M54" s="30" t="e">
        <f t="shared" si="4"/>
        <v>#REF!</v>
      </c>
      <c r="N54" s="35" t="e">
        <f t="shared" si="5"/>
        <v>#REF!</v>
      </c>
      <c r="O54" s="21" t="e">
        <f t="shared" si="6"/>
        <v>#REF!</v>
      </c>
      <c r="P54" s="36" t="e">
        <f t="shared" si="7"/>
        <v>#REF!</v>
      </c>
    </row>
    <row r="55" spans="2:16" ht="15" x14ac:dyDescent="0.25">
      <c r="B55" s="17" t="s">
        <v>18</v>
      </c>
      <c r="C55" s="21" t="e">
        <f>VLOOKUP(B55,#REF!,2)</f>
        <v>#REF!</v>
      </c>
      <c r="D55" s="21" t="e">
        <f>VLOOKUP(B55,#REF!,3)</f>
        <v>#REF!</v>
      </c>
      <c r="E55" s="14" t="e">
        <f>VLOOKUP(B55,#REF!,4)</f>
        <v>#REF!</v>
      </c>
      <c r="F55" s="22" t="e">
        <f>VLOOKUP(B55,#REF!,5)</f>
        <v>#REF!</v>
      </c>
      <c r="H55" s="30" t="e">
        <f>VLOOKUP(B55,#REF!,4)</f>
        <v>#REF!</v>
      </c>
      <c r="I55" s="21" t="e">
        <f>VLOOKUP(B55,#REF!,5)</f>
        <v>#REF!</v>
      </c>
      <c r="J55" s="14" t="e">
        <f>VLOOKUP(B55,#REF!,6)</f>
        <v>#REF!</v>
      </c>
      <c r="K55" s="22" t="e">
        <f>VLOOKUP(B55,#REF!,7)</f>
        <v>#REF!</v>
      </c>
      <c r="M55" s="30" t="e">
        <f t="shared" si="4"/>
        <v>#REF!</v>
      </c>
      <c r="N55" s="35" t="e">
        <f t="shared" si="5"/>
        <v>#REF!</v>
      </c>
      <c r="O55" s="21" t="e">
        <f t="shared" si="6"/>
        <v>#REF!</v>
      </c>
      <c r="P55" s="36" t="e">
        <f t="shared" si="7"/>
        <v>#REF!</v>
      </c>
    </row>
    <row r="56" spans="2:16" ht="15" x14ac:dyDescent="0.25">
      <c r="B56" s="17" t="s">
        <v>51</v>
      </c>
      <c r="C56" s="21" t="e">
        <f>VLOOKUP(B56,#REF!,2)</f>
        <v>#REF!</v>
      </c>
      <c r="D56" s="21" t="e">
        <f>VLOOKUP(B56,#REF!,3)</f>
        <v>#REF!</v>
      </c>
      <c r="E56" s="14" t="e">
        <f>VLOOKUP(B56,#REF!,4)</f>
        <v>#REF!</v>
      </c>
      <c r="F56" s="22" t="e">
        <f>VLOOKUP(B56,#REF!,5)</f>
        <v>#REF!</v>
      </c>
      <c r="H56" s="30" t="e">
        <f>VLOOKUP(B56,#REF!,4)</f>
        <v>#REF!</v>
      </c>
      <c r="I56" s="21" t="e">
        <f>VLOOKUP(B56,#REF!,5)</f>
        <v>#REF!</v>
      </c>
      <c r="J56" s="14" t="e">
        <f>VLOOKUP(B56,#REF!,6)</f>
        <v>#REF!</v>
      </c>
      <c r="K56" s="22" t="e">
        <f>VLOOKUP(B56,#REF!,7)</f>
        <v>#REF!</v>
      </c>
      <c r="M56" s="30" t="e">
        <f t="shared" si="4"/>
        <v>#REF!</v>
      </c>
      <c r="N56" s="35" t="e">
        <f t="shared" si="5"/>
        <v>#REF!</v>
      </c>
      <c r="O56" s="21" t="e">
        <f t="shared" si="6"/>
        <v>#REF!</v>
      </c>
      <c r="P56" s="36" t="e">
        <f t="shared" si="7"/>
        <v>#REF!</v>
      </c>
    </row>
    <row r="57" spans="2:16" ht="15" x14ac:dyDescent="0.25">
      <c r="B57" s="17" t="s">
        <v>38</v>
      </c>
      <c r="C57" s="21" t="e">
        <f>VLOOKUP(B57,#REF!,2)</f>
        <v>#REF!</v>
      </c>
      <c r="D57" s="21" t="e">
        <f>VLOOKUP(B57,#REF!,3)</f>
        <v>#REF!</v>
      </c>
      <c r="E57" s="14" t="e">
        <f>VLOOKUP(B57,#REF!,4)</f>
        <v>#REF!</v>
      </c>
      <c r="F57" s="22" t="e">
        <f>VLOOKUP(B57,#REF!,5)</f>
        <v>#REF!</v>
      </c>
      <c r="H57" s="30" t="e">
        <f>VLOOKUP(B57,#REF!,4)</f>
        <v>#REF!</v>
      </c>
      <c r="I57" s="21" t="e">
        <f>VLOOKUP(B57,#REF!,5)</f>
        <v>#REF!</v>
      </c>
      <c r="J57" s="14" t="e">
        <f>VLOOKUP(B57,#REF!,6)</f>
        <v>#REF!</v>
      </c>
      <c r="K57" s="22" t="e">
        <f>VLOOKUP(B57,#REF!,7)</f>
        <v>#REF!</v>
      </c>
      <c r="M57" s="30" t="e">
        <f t="shared" si="4"/>
        <v>#REF!</v>
      </c>
      <c r="N57" s="35" t="e">
        <f t="shared" si="5"/>
        <v>#REF!</v>
      </c>
      <c r="O57" s="21" t="e">
        <f t="shared" si="6"/>
        <v>#REF!</v>
      </c>
      <c r="P57" s="36" t="e">
        <f t="shared" si="7"/>
        <v>#REF!</v>
      </c>
    </row>
    <row r="58" spans="2:16" ht="15" x14ac:dyDescent="0.25">
      <c r="B58" s="17" t="s">
        <v>52</v>
      </c>
      <c r="C58" s="21" t="e">
        <f>VLOOKUP(B58,#REF!,2)</f>
        <v>#REF!</v>
      </c>
      <c r="D58" s="21" t="e">
        <f>VLOOKUP(B58,#REF!,3)</f>
        <v>#REF!</v>
      </c>
      <c r="E58" s="14" t="e">
        <f>VLOOKUP(B58,#REF!,4)</f>
        <v>#REF!</v>
      </c>
      <c r="F58" s="22" t="e">
        <f>VLOOKUP(B58,#REF!,5)</f>
        <v>#REF!</v>
      </c>
      <c r="H58" s="30" t="e">
        <f>VLOOKUP(B58,#REF!,4)</f>
        <v>#REF!</v>
      </c>
      <c r="I58" s="21" t="e">
        <f>VLOOKUP(B58,#REF!,5)</f>
        <v>#REF!</v>
      </c>
      <c r="J58" s="14" t="e">
        <f>VLOOKUP(B58,#REF!,6)</f>
        <v>#REF!</v>
      </c>
      <c r="K58" s="22" t="e">
        <f>VLOOKUP(B58,#REF!,7)</f>
        <v>#REF!</v>
      </c>
      <c r="M58" s="30" t="e">
        <f t="shared" si="4"/>
        <v>#REF!</v>
      </c>
      <c r="N58" s="35" t="e">
        <f t="shared" si="5"/>
        <v>#REF!</v>
      </c>
      <c r="O58" s="21" t="e">
        <f t="shared" si="6"/>
        <v>#REF!</v>
      </c>
      <c r="P58" s="36" t="e">
        <f t="shared" si="7"/>
        <v>#REF!</v>
      </c>
    </row>
    <row r="59" spans="2:16" ht="15" x14ac:dyDescent="0.25">
      <c r="B59" s="17" t="s">
        <v>39</v>
      </c>
      <c r="C59" s="21" t="e">
        <f>VLOOKUP(B59,#REF!,2)</f>
        <v>#REF!</v>
      </c>
      <c r="D59" s="21" t="e">
        <f>VLOOKUP(B59,#REF!,3)</f>
        <v>#REF!</v>
      </c>
      <c r="E59" s="14" t="e">
        <f>VLOOKUP(B59,#REF!,4)</f>
        <v>#REF!</v>
      </c>
      <c r="F59" s="22" t="e">
        <f>VLOOKUP(B59,#REF!,5)</f>
        <v>#REF!</v>
      </c>
      <c r="H59" s="30" t="e">
        <f>VLOOKUP(B59,#REF!,4)</f>
        <v>#REF!</v>
      </c>
      <c r="I59" s="21" t="e">
        <f>VLOOKUP(B59,#REF!,5)</f>
        <v>#REF!</v>
      </c>
      <c r="J59" s="14" t="e">
        <f>VLOOKUP(B59,#REF!,6)</f>
        <v>#REF!</v>
      </c>
      <c r="K59" s="22" t="e">
        <f>VLOOKUP(B59,#REF!,7)</f>
        <v>#REF!</v>
      </c>
      <c r="M59" s="30" t="e">
        <f t="shared" si="4"/>
        <v>#REF!</v>
      </c>
      <c r="N59" s="35" t="e">
        <f t="shared" si="5"/>
        <v>#REF!</v>
      </c>
      <c r="O59" s="21" t="e">
        <f t="shared" si="6"/>
        <v>#REF!</v>
      </c>
      <c r="P59" s="36" t="e">
        <f t="shared" si="7"/>
        <v>#REF!</v>
      </c>
    </row>
    <row r="60" spans="2:16" thickBot="1" x14ac:dyDescent="0.3">
      <c r="B60" s="23" t="s">
        <v>40</v>
      </c>
      <c r="C60" s="24" t="e">
        <f>VLOOKUP(B60,#REF!,2)</f>
        <v>#REF!</v>
      </c>
      <c r="D60" s="24" t="e">
        <f>VLOOKUP(B60,#REF!,3)</f>
        <v>#REF!</v>
      </c>
      <c r="E60" s="25" t="e">
        <f>VLOOKUP(B60,#REF!,4)</f>
        <v>#REF!</v>
      </c>
      <c r="F60" s="26" t="e">
        <f>VLOOKUP(B60,#REF!,5)</f>
        <v>#REF!</v>
      </c>
      <c r="H60" s="31" t="e">
        <f>VLOOKUP(B60,#REF!,4)</f>
        <v>#REF!</v>
      </c>
      <c r="I60" s="24" t="e">
        <f>VLOOKUP(B60,#REF!,5)</f>
        <v>#REF!</v>
      </c>
      <c r="J60" s="25" t="e">
        <f>VLOOKUP(B60,#REF!,6)</f>
        <v>#REF!</v>
      </c>
      <c r="K60" s="26" t="e">
        <f>VLOOKUP(B60,#REF!,7)</f>
        <v>#REF!</v>
      </c>
      <c r="M60" s="31" t="e">
        <f t="shared" si="4"/>
        <v>#REF!</v>
      </c>
      <c r="N60" s="37" t="e">
        <f t="shared" si="5"/>
        <v>#REF!</v>
      </c>
      <c r="O60" s="24" t="e">
        <f t="shared" si="6"/>
        <v>#REF!</v>
      </c>
      <c r="P60" s="38" t="e">
        <f t="shared" si="7"/>
        <v>#REF!</v>
      </c>
    </row>
    <row r="61" spans="2:16" s="3" customFormat="1" ht="15" x14ac:dyDescent="0.25">
      <c r="B61" s="20" t="s">
        <v>0</v>
      </c>
      <c r="C61" s="12" t="e">
        <f>SUM(C3:C60)</f>
        <v>#REF!</v>
      </c>
      <c r="D61" s="12" t="e">
        <f>SUM(D3:D60)</f>
        <v>#REF!</v>
      </c>
      <c r="E61" s="13" t="e">
        <f>C61/D61</f>
        <v>#REF!</v>
      </c>
      <c r="H61" s="32" t="e">
        <f>SUM(H3:H60)</f>
        <v>#REF!</v>
      </c>
      <c r="I61" s="32" t="e">
        <f>SUM(I3:I60)</f>
        <v>#REF!</v>
      </c>
      <c r="J61" s="33" t="e">
        <f>VLOOKUP(B61,#REF!,6)</f>
        <v>#REF!</v>
      </c>
      <c r="M61" s="12"/>
      <c r="N61" s="12"/>
      <c r="O61" s="12" t="e">
        <f t="shared" ref="O61" si="8">SUM(O3:O60)</f>
        <v>#REF!</v>
      </c>
      <c r="P61" s="39" t="e">
        <f t="shared" si="7"/>
        <v>#REF!</v>
      </c>
    </row>
    <row r="62" spans="2:16" ht="15" x14ac:dyDescent="0.25">
      <c r="B62" s="18"/>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D74"/>
  <sheetViews>
    <sheetView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R78" sqref="R78"/>
    </sheetView>
  </sheetViews>
  <sheetFormatPr defaultColWidth="9.42578125" defaultRowHeight="15.75" x14ac:dyDescent="0.25"/>
  <cols>
    <col min="1" max="1" width="7.42578125" style="44" customWidth="1"/>
    <col min="2" max="2" width="14.5703125" style="53" bestFit="1" customWidth="1"/>
    <col min="3" max="3" width="1.5703125" style="53" customWidth="1"/>
    <col min="4" max="4" width="12.42578125" style="53" customWidth="1"/>
    <col min="5" max="5" width="13.42578125" style="53" bestFit="1" customWidth="1"/>
    <col min="6" max="6" width="9.42578125" style="53" customWidth="1"/>
    <col min="7" max="7" width="1.5703125" style="53" customWidth="1"/>
    <col min="8" max="8" width="15.5703125" style="53" bestFit="1" customWidth="1"/>
    <col min="9" max="9" width="16.5703125" style="53" bestFit="1" customWidth="1"/>
    <col min="10" max="10" width="16.42578125" style="53" bestFit="1" customWidth="1"/>
    <col min="11" max="11" width="13.42578125" style="53" bestFit="1" customWidth="1"/>
    <col min="12" max="12" width="15" style="53" bestFit="1" customWidth="1"/>
    <col min="13" max="13" width="1.5703125" style="53" customWidth="1"/>
    <col min="14" max="14" width="10.5703125" style="53" customWidth="1"/>
    <col min="15" max="15" width="19.5703125" style="53" bestFit="1" customWidth="1"/>
    <col min="16" max="16" width="1.5703125" style="53" customWidth="1"/>
    <col min="17" max="18" width="12.42578125" style="53" bestFit="1" customWidth="1"/>
    <col min="19" max="19" width="15" style="53" bestFit="1" customWidth="1"/>
    <col min="20" max="20" width="13.5703125" style="53" customWidth="1"/>
    <col min="21" max="22" width="17.42578125" style="53" bestFit="1" customWidth="1"/>
    <col min="23" max="23" width="17.42578125" style="62" bestFit="1" customWidth="1"/>
    <col min="24" max="24" width="1.5703125" style="53" customWidth="1"/>
    <col min="25" max="25" width="17.42578125" style="53" bestFit="1" customWidth="1"/>
    <col min="26" max="26" width="1.5703125" style="53" customWidth="1"/>
    <col min="27" max="27" width="18.42578125" style="53" bestFit="1" customWidth="1"/>
    <col min="28" max="28" width="20.42578125" style="63" bestFit="1" customWidth="1"/>
    <col min="29" max="29" width="15.42578125" style="53" customWidth="1"/>
    <col min="30" max="30" width="17.42578125" style="55" customWidth="1"/>
    <col min="31" max="16384" width="9.42578125" style="53"/>
  </cols>
  <sheetData>
    <row r="1" spans="1:30" s="44" customFormat="1" ht="20.100000000000001" customHeight="1" x14ac:dyDescent="0.25">
      <c r="A1" s="46" t="s">
        <v>227</v>
      </c>
      <c r="C1" s="51"/>
      <c r="D1" s="51"/>
      <c r="E1" s="51"/>
      <c r="F1" s="51"/>
      <c r="G1" s="51"/>
      <c r="H1" s="52"/>
      <c r="I1" s="52"/>
      <c r="J1" s="52"/>
      <c r="K1" s="51"/>
      <c r="L1" s="51"/>
      <c r="M1" s="51"/>
      <c r="N1" s="51"/>
      <c r="O1" s="51"/>
      <c r="P1" s="51"/>
      <c r="Q1" s="51"/>
      <c r="R1" s="51"/>
      <c r="S1" s="51"/>
      <c r="T1" s="51"/>
      <c r="U1" s="51"/>
      <c r="V1" s="51"/>
      <c r="W1" s="51"/>
      <c r="X1" s="51"/>
      <c r="Y1" s="51"/>
      <c r="Z1" s="51"/>
      <c r="AA1" s="51"/>
      <c r="AB1" s="51"/>
      <c r="AC1" s="51"/>
      <c r="AD1" s="43"/>
    </row>
    <row r="2" spans="1:30" s="44" customFormat="1" ht="20.100000000000001" customHeight="1" x14ac:dyDescent="0.25">
      <c r="A2" s="49" t="s">
        <v>248</v>
      </c>
      <c r="C2" s="51"/>
      <c r="D2" s="51"/>
      <c r="E2" s="51"/>
      <c r="F2" s="51"/>
      <c r="G2" s="51"/>
      <c r="H2" s="52"/>
      <c r="I2" s="52"/>
      <c r="J2" s="52"/>
      <c r="K2" s="51"/>
      <c r="L2" s="51"/>
      <c r="M2" s="51"/>
      <c r="N2" s="51"/>
      <c r="O2" s="51"/>
      <c r="P2" s="51"/>
      <c r="Q2" s="51"/>
      <c r="R2" s="51"/>
      <c r="S2" s="51"/>
      <c r="T2" s="51"/>
      <c r="U2" s="51"/>
      <c r="V2" s="51"/>
      <c r="W2" s="51"/>
      <c r="X2" s="51"/>
      <c r="Y2" s="51"/>
      <c r="Z2" s="51"/>
      <c r="AA2" s="51"/>
      <c r="AB2" s="51"/>
      <c r="AC2" s="51"/>
      <c r="AD2" s="43"/>
    </row>
    <row r="3" spans="1:30" s="44" customFormat="1" ht="20.100000000000001" customHeight="1" x14ac:dyDescent="0.25">
      <c r="A3" s="47"/>
      <c r="B3" s="50"/>
      <c r="C3" s="51"/>
      <c r="D3" s="51"/>
      <c r="E3" s="51"/>
      <c r="F3" s="51"/>
      <c r="G3" s="51"/>
      <c r="H3" s="52"/>
      <c r="I3" s="52"/>
      <c r="J3" s="52"/>
      <c r="K3" s="51"/>
      <c r="L3" s="51"/>
      <c r="M3" s="51"/>
      <c r="N3" s="51"/>
      <c r="O3" s="51"/>
      <c r="P3" s="51"/>
      <c r="Q3" s="51"/>
      <c r="R3" s="51"/>
      <c r="S3" s="51"/>
      <c r="T3" s="51"/>
      <c r="U3" s="51"/>
      <c r="V3" s="51"/>
      <c r="W3" s="51"/>
      <c r="X3" s="51"/>
      <c r="Y3" s="51"/>
      <c r="Z3" s="51"/>
      <c r="AA3" s="51"/>
      <c r="AB3" s="51"/>
      <c r="AC3" s="51"/>
      <c r="AD3" s="43"/>
    </row>
    <row r="4" spans="1:30" s="44" customFormat="1" ht="47.1" customHeight="1" x14ac:dyDescent="0.25">
      <c r="A4" s="64"/>
      <c r="B4" s="64"/>
      <c r="C4" s="81"/>
      <c r="D4" s="270" t="s">
        <v>217</v>
      </c>
      <c r="E4" s="271"/>
      <c r="F4" s="271"/>
      <c r="G4" s="81"/>
      <c r="H4" s="279" t="s">
        <v>225</v>
      </c>
      <c r="I4" s="279"/>
      <c r="J4" s="279"/>
      <c r="K4" s="279"/>
      <c r="L4" s="279"/>
      <c r="M4" s="81"/>
      <c r="N4" s="272" t="s">
        <v>150</v>
      </c>
      <c r="O4" s="272"/>
      <c r="P4" s="81"/>
      <c r="Q4" s="275" t="s">
        <v>220</v>
      </c>
      <c r="R4" s="276"/>
      <c r="S4" s="276"/>
      <c r="T4" s="277"/>
      <c r="U4" s="278" t="s">
        <v>152</v>
      </c>
      <c r="V4" s="278"/>
      <c r="W4" s="278"/>
      <c r="X4" s="81"/>
      <c r="Y4" s="269" t="s">
        <v>221</v>
      </c>
      <c r="Z4" s="81"/>
      <c r="AA4" s="43"/>
      <c r="AB4" s="43"/>
      <c r="AC4" s="43"/>
      <c r="AD4" s="43"/>
    </row>
    <row r="5" spans="1:30" s="44" customFormat="1" ht="90" x14ac:dyDescent="0.25">
      <c r="A5" s="273" t="s">
        <v>68</v>
      </c>
      <c r="B5" s="273" t="s">
        <v>63</v>
      </c>
      <c r="C5" s="81"/>
      <c r="D5" s="42" t="s">
        <v>161</v>
      </c>
      <c r="E5" s="42" t="s">
        <v>162</v>
      </c>
      <c r="F5" s="42" t="s">
        <v>141</v>
      </c>
      <c r="G5" s="81"/>
      <c r="H5" s="74" t="s">
        <v>142</v>
      </c>
      <c r="I5" s="74" t="s">
        <v>223</v>
      </c>
      <c r="J5" s="75" t="s">
        <v>224</v>
      </c>
      <c r="K5" s="75" t="s">
        <v>218</v>
      </c>
      <c r="L5" s="74" t="s">
        <v>143</v>
      </c>
      <c r="M5" s="81"/>
      <c r="N5" s="73" t="s">
        <v>219</v>
      </c>
      <c r="O5" s="73" t="s">
        <v>151</v>
      </c>
      <c r="P5" s="81"/>
      <c r="Q5" s="95" t="s">
        <v>153</v>
      </c>
      <c r="R5" s="96" t="s">
        <v>154</v>
      </c>
      <c r="S5" s="95" t="s">
        <v>155</v>
      </c>
      <c r="T5" s="96" t="s">
        <v>156</v>
      </c>
      <c r="U5" s="97" t="s">
        <v>157</v>
      </c>
      <c r="V5" s="97" t="s">
        <v>158</v>
      </c>
      <c r="W5" s="97" t="s">
        <v>67</v>
      </c>
      <c r="X5" s="81"/>
      <c r="Y5" s="269"/>
      <c r="Z5" s="81"/>
      <c r="AA5" s="244" t="s">
        <v>222</v>
      </c>
      <c r="AB5" s="94" t="s">
        <v>210</v>
      </c>
      <c r="AC5" s="94" t="s">
        <v>211</v>
      </c>
      <c r="AD5" s="45"/>
    </row>
    <row r="6" spans="1:30" s="80" customFormat="1" ht="15" customHeight="1" x14ac:dyDescent="0.25">
      <c r="A6" s="274"/>
      <c r="B6" s="274"/>
      <c r="C6" s="82"/>
      <c r="D6" s="78" t="s">
        <v>65</v>
      </c>
      <c r="E6" s="78" t="s">
        <v>1</v>
      </c>
      <c r="F6" s="78" t="s">
        <v>66</v>
      </c>
      <c r="G6" s="82"/>
      <c r="H6" s="78" t="s">
        <v>2</v>
      </c>
      <c r="I6" s="78" t="s">
        <v>3</v>
      </c>
      <c r="J6" s="78" t="s">
        <v>83</v>
      </c>
      <c r="K6" s="78" t="s">
        <v>114</v>
      </c>
      <c r="L6" s="78" t="s">
        <v>84</v>
      </c>
      <c r="M6" s="82"/>
      <c r="N6" s="78" t="s">
        <v>85</v>
      </c>
      <c r="O6" s="78" t="s">
        <v>115</v>
      </c>
      <c r="P6" s="82"/>
      <c r="Q6" s="78" t="s">
        <v>116</v>
      </c>
      <c r="R6" s="78" t="s">
        <v>86</v>
      </c>
      <c r="S6" s="78" t="s">
        <v>76</v>
      </c>
      <c r="T6" s="78" t="s">
        <v>117</v>
      </c>
      <c r="U6" s="78" t="s">
        <v>144</v>
      </c>
      <c r="V6" s="78" t="s">
        <v>145</v>
      </c>
      <c r="W6" s="78" t="s">
        <v>146</v>
      </c>
      <c r="X6" s="82"/>
      <c r="Y6" s="78" t="s">
        <v>147</v>
      </c>
      <c r="Z6" s="82"/>
      <c r="AA6" s="78" t="s">
        <v>148</v>
      </c>
      <c r="AB6" s="78" t="s">
        <v>159</v>
      </c>
      <c r="AC6" s="78" t="s">
        <v>149</v>
      </c>
      <c r="AD6" s="79"/>
    </row>
    <row r="7" spans="1:30" ht="20.100000000000001" customHeight="1" x14ac:dyDescent="0.25">
      <c r="A7" s="65">
        <v>4</v>
      </c>
      <c r="B7" s="66" t="s">
        <v>53</v>
      </c>
      <c r="C7" s="81"/>
      <c r="D7" s="67">
        <f>RAS!M7</f>
        <v>446</v>
      </c>
      <c r="E7" s="67">
        <f>RAS!Q7</f>
        <v>83</v>
      </c>
      <c r="F7" s="68">
        <f t="shared" ref="F7:F38" si="0">SUM(D7:E7)</f>
        <v>529</v>
      </c>
      <c r="G7" s="81"/>
      <c r="H7" s="70">
        <f>(F7-1)*'AVG RAS salary'!$F$66</f>
        <v>42007129.246647388</v>
      </c>
      <c r="I7" s="70">
        <f>(F7-1)*(VLOOKUP(B7,'FTE Allotment Factor'!$B$6:$D$63,3))</f>
        <v>62658807.004812777</v>
      </c>
      <c r="J7" s="70">
        <f>(F7-1)*(VLOOKUP(B7,'FTE Allotment Factor'!$B$6:$H$63,7))</f>
        <v>62658807.004812777</v>
      </c>
      <c r="K7" s="70">
        <f>VLOOKUP(A7,'CEO Salary'!$G$7:$H$13,2)</f>
        <v>321923.64124999999</v>
      </c>
      <c r="L7" s="70">
        <f>IF(N7&lt;&gt;0,N7*K7,K7)</f>
        <v>480188.76007767703</v>
      </c>
      <c r="M7" s="81"/>
      <c r="N7" s="85">
        <f>VLOOKUP(B7,BLS!$B$5:$I$64,8, FALSE)</f>
        <v>1.4916231632232666</v>
      </c>
      <c r="O7" s="89">
        <f>J7+L7</f>
        <v>63138995.764890455</v>
      </c>
      <c r="P7" s="81"/>
      <c r="Q7" s="87">
        <f>VLOOKUP(B7,'Program 10'!$A$7:$G$64,6)</f>
        <v>0.31703863139865635</v>
      </c>
      <c r="R7" s="70">
        <f>VLOOKUP(B7,'Program 10'!$A$7:$G$64,7)</f>
        <v>21129.150412565868</v>
      </c>
      <c r="S7" s="87">
        <f>VLOOKUP(B7,'Program 90'!$A$7:$G$64,6)</f>
        <v>0.31786673504720825</v>
      </c>
      <c r="T7" s="70">
        <f>VLOOKUP(B7,'Program 90'!$A$7:$G$64,7)</f>
        <v>22973.382352941175</v>
      </c>
      <c r="U7" s="216">
        <f>(D7*VLOOKUP(B7,'FTE Allotment Factor'!$B$6:$H$63,7,FALSE)*Q7)+(D7*R7)</f>
        <v>26203728.050621346</v>
      </c>
      <c r="V7" s="216">
        <f>((((E7-1)*VLOOKUP(B7,'FTE Allotment Factor'!$B$6:$H$63,7,FALSE))+(K7*N7))*S7)+(T7*E7)</f>
        <v>5152620.5814977856</v>
      </c>
      <c r="W7" s="217">
        <f>SUM(U7:V7)</f>
        <v>31356348.63211913</v>
      </c>
      <c r="X7" s="81"/>
      <c r="Y7" s="217">
        <f>F7*(VLOOKUP(A7, 'OE&amp;E by Cluster'!$B$6:$C$9,2,FALSE))</f>
        <v>12679891.374179145</v>
      </c>
      <c r="Z7" s="81"/>
      <c r="AA7" s="70">
        <f>'AB1058'!E5</f>
        <v>2182261.9300000006</v>
      </c>
      <c r="AB7" s="89">
        <f>(O7+W7+Y7)-AA7</f>
        <v>104992973.84118871</v>
      </c>
      <c r="AC7" s="91">
        <f t="shared" ref="AC7:AC38" si="1">AB7/$AB$65</f>
        <v>3.5097572775659024E-2</v>
      </c>
      <c r="AD7" s="238">
        <f>AB7/F7</f>
        <v>198474.43070167999</v>
      </c>
    </row>
    <row r="8" spans="1:30" ht="20.100000000000001" customHeight="1" x14ac:dyDescent="0.25">
      <c r="A8" s="65">
        <v>1</v>
      </c>
      <c r="B8" s="66" t="s">
        <v>4</v>
      </c>
      <c r="D8" s="67">
        <f>RAS!M8</f>
        <v>2</v>
      </c>
      <c r="E8" s="67">
        <f>RAS!Q8</f>
        <v>1</v>
      </c>
      <c r="F8" s="68">
        <f t="shared" si="0"/>
        <v>3</v>
      </c>
      <c r="H8" s="71">
        <f>(F8-1)*'AVG RAS salary'!$F$66</f>
        <v>159117.91381305829</v>
      </c>
      <c r="I8" s="71">
        <f>(F8-1)*(VLOOKUP(B8,'FTE Allotment Factor'!$B$6:$D$63,3))</f>
        <v>123335.50897574835</v>
      </c>
      <c r="J8" s="71">
        <f>(F8-1)*(VLOOKUP(B8,'FTE Allotment Factor'!$B$6:$H$63,7))</f>
        <v>124470.84909085729</v>
      </c>
      <c r="K8" s="235">
        <f>VLOOKUP(A8,'CEO Salary'!$G$7:$H$13,2)</f>
        <v>157919.41593777778</v>
      </c>
      <c r="L8" s="235">
        <f>IF(N8&lt;&gt;0,N8*K8,K8)</f>
        <v>122406.52906448745</v>
      </c>
      <c r="N8" s="85">
        <f>VLOOKUP(B8,BLS!$B$5:$I$64,8, FALSE)</f>
        <v>0.77512019872665405</v>
      </c>
      <c r="O8" s="90">
        <f t="shared" ref="O8:O9" si="2">J8+L8</f>
        <v>246877.37815534475</v>
      </c>
      <c r="Q8" s="87">
        <f>VLOOKUP(B8,'Program 10'!$A$7:$G$64,6)</f>
        <v>0.49076000000000009</v>
      </c>
      <c r="R8" s="8">
        <f>VLOOKUP(B8,'Program 10'!$A$7:$G$64,7)</f>
        <v>31309.394705882354</v>
      </c>
      <c r="S8" s="87">
        <f>VLOOKUP(B8,'Program 90'!$A$7:$G$64,6)</f>
        <v>0.49076000000000003</v>
      </c>
      <c r="T8" s="8">
        <f>VLOOKUP(B8,'Program 90'!$A$7:$G$64,7)</f>
        <v>38563.229999999996</v>
      </c>
      <c r="U8" s="72">
        <f>(D8*VLOOKUP(B8,'FTE Allotment Factor'!$B$7:$H$64,7,FALSE)*Q8)+(D8*R8)</f>
        <v>123704.10331159385</v>
      </c>
      <c r="V8" s="72">
        <f>((((E8-1)*VLOOKUP(B8,'FTE Allotment Factor'!$B$7:$H$64,7,FALSE))+(K8*N8))*S8)+(T8*E8)</f>
        <v>98635.458203687856</v>
      </c>
      <c r="W8" s="90">
        <f t="shared" ref="W8:W38" si="3">SUM(U8:V8)</f>
        <v>222339.5615152817</v>
      </c>
      <c r="Y8" s="90">
        <f>F8*(VLOOKUP(A8, 'OE&amp;E by Cluster'!$B$6:$C$9,2,FALSE))</f>
        <v>133916.63233481138</v>
      </c>
      <c r="AA8" s="235">
        <f>'AB1058'!E6</f>
        <v>0</v>
      </c>
      <c r="AB8" s="90">
        <f t="shared" ref="AB8:AB38" si="4">(O8+W8+Y8)-AA8</f>
        <v>603133.5720054378</v>
      </c>
      <c r="AC8" s="92">
        <f t="shared" si="1"/>
        <v>2.0161848609911103E-4</v>
      </c>
      <c r="AD8" s="55">
        <f t="shared" ref="AD8:AD64" si="5">AB8/F8</f>
        <v>201044.52400181259</v>
      </c>
    </row>
    <row r="9" spans="1:30" ht="20.100000000000001" customHeight="1" x14ac:dyDescent="0.25">
      <c r="A9" s="65">
        <v>1</v>
      </c>
      <c r="B9" s="66" t="s">
        <v>5</v>
      </c>
      <c r="D9" s="67">
        <f>RAS!M9</f>
        <v>23</v>
      </c>
      <c r="E9" s="67">
        <f>RAS!Q9</f>
        <v>8</v>
      </c>
      <c r="F9" s="68">
        <f t="shared" si="0"/>
        <v>31</v>
      </c>
      <c r="H9" s="71">
        <f>(F9-1)*'AVG RAS salary'!$F$66</f>
        <v>2386768.7071958743</v>
      </c>
      <c r="I9" s="71">
        <f>(F9-1)*(VLOOKUP(B9,'FTE Allotment Factor'!$B$6:$D$63,3))</f>
        <v>2286738.5368004828</v>
      </c>
      <c r="J9" s="71">
        <f>(F9-1)*(VLOOKUP(B9,'FTE Allotment Factor'!$B$6:$H$63,7))</f>
        <v>2286738.5368004828</v>
      </c>
      <c r="K9" s="235">
        <f>VLOOKUP(A9,'CEO Salary'!$G$7:$H$13,2)</f>
        <v>157919.41593777778</v>
      </c>
      <c r="L9" s="235">
        <f t="shared" ref="L9:L51" si="6">IF(N9&lt;&gt;0,N9*K9,K9)</f>
        <v>151300.96730579634</v>
      </c>
      <c r="N9" s="85">
        <f>VLOOKUP(B9,BLS!$B$5:$I$64,8, FALSE)</f>
        <v>0.95808970928192139</v>
      </c>
      <c r="O9" s="90">
        <f t="shared" si="2"/>
        <v>2438039.504106279</v>
      </c>
      <c r="Q9" s="87">
        <f>VLOOKUP(B9,'Program 10'!$A$7:$G$64,6)</f>
        <v>0.41580000000000006</v>
      </c>
      <c r="R9" s="8">
        <f>VLOOKUP(B9,'Program 10'!$A$7:$G$64,7)</f>
        <v>11403.73653206651</v>
      </c>
      <c r="S9" s="87">
        <f>VLOOKUP(B9,'Program 90'!$A$7:$G$64,6)</f>
        <v>0.41579999999999989</v>
      </c>
      <c r="T9" s="8">
        <f>VLOOKUP(B9,'Program 90'!$A$7:$G$64,7)</f>
        <v>12102.614020618556</v>
      </c>
      <c r="U9" s="72">
        <f>(D9*VLOOKUP(B9,'FTE Allotment Factor'!$B$7:$H$64,7,FALSE)*Q9)+(D9*R9)</f>
        <v>991252.45099878777</v>
      </c>
      <c r="V9" s="72">
        <f>((((E9-1)*VLOOKUP(B9,'FTE Allotment Factor'!$B$7:$H$64,7,FALSE))+(K9*N9))*S9)+(T9*E9)</f>
        <v>381591.22721108131</v>
      </c>
      <c r="W9" s="90">
        <f t="shared" si="3"/>
        <v>1372843.6782098692</v>
      </c>
      <c r="Y9" s="90">
        <f>F9*(VLOOKUP(A9, 'OE&amp;E by Cluster'!$B$6:$C$9,2,FALSE))</f>
        <v>1383805.2007930509</v>
      </c>
      <c r="AA9" s="235">
        <f>'AB1058'!E7</f>
        <v>140051.51</v>
      </c>
      <c r="AB9" s="90">
        <f t="shared" si="4"/>
        <v>5054636.8731091991</v>
      </c>
      <c r="AC9" s="91">
        <f t="shared" si="1"/>
        <v>1.6896891193578475E-3</v>
      </c>
      <c r="AD9" s="55">
        <f t="shared" si="5"/>
        <v>163052.80235836125</v>
      </c>
    </row>
    <row r="10" spans="1:30" ht="20.100000000000001" customHeight="1" x14ac:dyDescent="0.25">
      <c r="A10" s="65">
        <v>2</v>
      </c>
      <c r="B10" s="66" t="s">
        <v>19</v>
      </c>
      <c r="D10" s="67">
        <f>RAS!M10</f>
        <v>98</v>
      </c>
      <c r="E10" s="67">
        <f>RAS!Q10</f>
        <v>22</v>
      </c>
      <c r="F10" s="68">
        <f t="shared" si="0"/>
        <v>120</v>
      </c>
      <c r="H10" s="71">
        <f>(F10-1)*'AVG RAS salary'!$F$66</f>
        <v>9467515.8718769681</v>
      </c>
      <c r="I10" s="71">
        <f>(F10-1)*(VLOOKUP(B10,'FTE Allotment Factor'!$B$6:$D$63,3))</f>
        <v>8262596.0069004716</v>
      </c>
      <c r="J10" s="71">
        <f>(F10-1)*(VLOOKUP(B10,'FTE Allotment Factor'!$B$6:$H$63,7))</f>
        <v>8262596.0069004716</v>
      </c>
      <c r="K10" s="235">
        <f>VLOOKUP(A10,'CEO Salary'!$G$7:$H$13,2)</f>
        <v>218101.02419818181</v>
      </c>
      <c r="L10" s="235">
        <f t="shared" si="6"/>
        <v>190343.55748944008</v>
      </c>
      <c r="N10" s="85">
        <f>VLOOKUP(B10,BLS!$B$5:$I$64,8, FALSE)</f>
        <v>0.87273114919662476</v>
      </c>
      <c r="O10" s="90">
        <f>J10+L10</f>
        <v>8452939.5643899124</v>
      </c>
      <c r="Q10" s="87">
        <f>VLOOKUP(B10,'Program 10'!$A$7:$G$64,6)</f>
        <v>0.34315422807585533</v>
      </c>
      <c r="R10" s="8">
        <f>VLOOKUP(B10,'Program 10'!$A$7:$G$64,7)</f>
        <v>14645.589858293184</v>
      </c>
      <c r="S10" s="87">
        <f>VLOOKUP(B10,'Program 90'!$A$7:$G$64,6)</f>
        <v>0.33839822290527555</v>
      </c>
      <c r="T10" s="8">
        <f>VLOOKUP(B10,'Program 90'!$A$7:$G$64,7)</f>
        <v>16786.496950672645</v>
      </c>
      <c r="U10" s="72">
        <f>(D10*VLOOKUP(B10,'FTE Allotment Factor'!$B$7:$H$64,7,FALSE)*Q10)+(D10*R10)</f>
        <v>3770257.6040602652</v>
      </c>
      <c r="V10" s="72">
        <f>((((E10-1)*VLOOKUP(B10,'FTE Allotment Factor'!$B$7:$H$64,7,FALSE))+(K10*N10))*S10)+(T10*E10)</f>
        <v>927135.0554494008</v>
      </c>
      <c r="W10" s="90">
        <f t="shared" si="3"/>
        <v>4697392.6595096663</v>
      </c>
      <c r="Y10" s="90">
        <f>F10*(VLOOKUP(A10, 'OE&amp;E by Cluster'!$B$6:$C$9,2,FALSE))</f>
        <v>2876345.8693790124</v>
      </c>
      <c r="AA10" s="235">
        <f>'AB1058'!E8</f>
        <v>237079.21</v>
      </c>
      <c r="AB10" s="90">
        <f t="shared" si="4"/>
        <v>15789598.88327859</v>
      </c>
      <c r="AC10" s="91">
        <f t="shared" si="1"/>
        <v>5.2782255386210558E-3</v>
      </c>
      <c r="AD10" s="55">
        <f t="shared" si="5"/>
        <v>131579.99069398825</v>
      </c>
    </row>
    <row r="11" spans="1:30" ht="20.100000000000001" customHeight="1" x14ac:dyDescent="0.25">
      <c r="A11" s="65">
        <v>1</v>
      </c>
      <c r="B11" s="66" t="s">
        <v>6</v>
      </c>
      <c r="C11" s="83"/>
      <c r="D11" s="67">
        <f>RAS!M11</f>
        <v>19</v>
      </c>
      <c r="E11" s="67">
        <f>RAS!Q11</f>
        <v>7</v>
      </c>
      <c r="F11" s="68">
        <f t="shared" si="0"/>
        <v>26</v>
      </c>
      <c r="G11" s="83"/>
      <c r="H11" s="71">
        <f>(F11-1)*'AVG RAS salary'!$F$66</f>
        <v>1988973.9226632286</v>
      </c>
      <c r="I11" s="71">
        <f>(F11-1)*(VLOOKUP(B11,'FTE Allotment Factor'!$B$6:$D$63,3))</f>
        <v>1686831.4882945516</v>
      </c>
      <c r="J11" s="71">
        <f>(F11-1)*(VLOOKUP(B11,'FTE Allotment Factor'!$B$6:$H$63,7))</f>
        <v>1686831.4882945516</v>
      </c>
      <c r="K11" s="235">
        <f>VLOOKUP(A11,'CEO Salary'!$G$7:$H$13,2)</f>
        <v>157919.41593777778</v>
      </c>
      <c r="L11" s="235">
        <f t="shared" si="6"/>
        <v>133930.08343731405</v>
      </c>
      <c r="M11" s="83"/>
      <c r="N11" s="85">
        <f>VLOOKUP(B11,BLS!$B$5:$I$64,8, FALSE)</f>
        <v>0.84809130430221558</v>
      </c>
      <c r="O11" s="90">
        <f>J11+L11</f>
        <v>1820761.5717318656</v>
      </c>
      <c r="P11" s="83"/>
      <c r="Q11" s="87">
        <f>VLOOKUP(B11,'Program 10'!$A$7:$G$64,6)</f>
        <v>0.22850350391323634</v>
      </c>
      <c r="R11" s="8">
        <f>VLOOKUP(B11,'Program 10'!$A$7:$G$64,7)</f>
        <v>14947.670226628899</v>
      </c>
      <c r="S11" s="87">
        <f>VLOOKUP(B11,'Program 90'!$A$7:$G$64,6)</f>
        <v>0.22911257990360617</v>
      </c>
      <c r="T11" s="8">
        <f>VLOOKUP(B11,'Program 90'!$A$7:$G$64,7)</f>
        <v>6731.7559999999994</v>
      </c>
      <c r="U11" s="72">
        <f>(D11*VLOOKUP(B11,'FTE Allotment Factor'!$B$7:$H$64,7,FALSE)*Q11)+(D11*R11)</f>
        <v>576945.38255167729</v>
      </c>
      <c r="V11" s="72">
        <f>((((E11-1)*VLOOKUP(B11,'FTE Allotment Factor'!$B$7:$H$64,7,FALSE))+(K11*N11))*S11)+(T11*E11)</f>
        <v>170561.19433802131</v>
      </c>
      <c r="W11" s="90">
        <f t="shared" si="3"/>
        <v>747506.57688969863</v>
      </c>
      <c r="X11" s="83"/>
      <c r="Y11" s="90">
        <f>F11*(VLOOKUP(A11, 'OE&amp;E by Cluster'!$B$6:$C$9,2,FALSE))</f>
        <v>1160610.8135683653</v>
      </c>
      <c r="Z11" s="83"/>
      <c r="AA11" s="235">
        <f>'AB1058'!E9</f>
        <v>122477.17000000001</v>
      </c>
      <c r="AB11" s="90">
        <f t="shared" si="4"/>
        <v>3606401.7921899296</v>
      </c>
      <c r="AC11" s="91">
        <f t="shared" si="1"/>
        <v>1.205565903401409E-3</v>
      </c>
      <c r="AD11" s="55">
        <f t="shared" si="5"/>
        <v>138707.76123807422</v>
      </c>
    </row>
    <row r="12" spans="1:30" ht="20.100000000000001" customHeight="1" x14ac:dyDescent="0.25">
      <c r="A12" s="65">
        <v>1</v>
      </c>
      <c r="B12" s="66" t="s">
        <v>7</v>
      </c>
      <c r="D12" s="67">
        <f>RAS!M12</f>
        <v>13</v>
      </c>
      <c r="E12" s="67">
        <f>RAS!Q12</f>
        <v>5</v>
      </c>
      <c r="F12" s="68">
        <f t="shared" si="0"/>
        <v>18</v>
      </c>
      <c r="H12" s="71">
        <f>(F12-1)*'AVG RAS salary'!$F$66</f>
        <v>1352502.2674109954</v>
      </c>
      <c r="I12" s="71">
        <f>(F12-1)*(VLOOKUP(B12,'FTE Allotment Factor'!$B$6:$D$63,3))</f>
        <v>994710.73076144734</v>
      </c>
      <c r="J12" s="71">
        <f>(F12-1)*(VLOOKUP(B12,'FTE Allotment Factor'!$B$6:$H$63,7))</f>
        <v>1058002.217272287</v>
      </c>
      <c r="K12" s="235">
        <f>VLOOKUP(A12,'CEO Salary'!$G$7:$H$13,2)</f>
        <v>157919.41593777778</v>
      </c>
      <c r="L12" s="235">
        <f t="shared" si="6"/>
        <v>116143.34512694278</v>
      </c>
      <c r="N12" s="85">
        <f>VLOOKUP(B12,BLS!$B$5:$I$64,8, FALSE)</f>
        <v>0.73545956611633301</v>
      </c>
      <c r="O12" s="90">
        <f t="shared" ref="O12:O63" si="7">J12+L12</f>
        <v>1174145.5623992297</v>
      </c>
      <c r="Q12" s="87">
        <f>VLOOKUP(B12,'Program 10'!$A$7:$G$64,6)</f>
        <v>0.50650000000000006</v>
      </c>
      <c r="R12" s="8">
        <f>VLOOKUP(B12,'Program 10'!$A$7:$G$64,7)</f>
        <v>24886.139896373064</v>
      </c>
      <c r="S12" s="87">
        <f>VLOOKUP(B12,'Program 90'!$A$7:$G$64,6)</f>
        <v>0.44348821825494411</v>
      </c>
      <c r="T12" s="8">
        <f>VLOOKUP(B12,'Program 90'!$A$7:$G$64,7)</f>
        <v>13103.024719101122</v>
      </c>
      <c r="U12" s="72">
        <f>(D12*VLOOKUP(B12,'FTE Allotment Factor'!$B$7:$H$64,7,FALSE)*Q12)+(D12*R12)</f>
        <v>733308.97157222475</v>
      </c>
      <c r="V12" s="72">
        <f>((((E12-1)*VLOOKUP(B12,'FTE Allotment Factor'!$B$7:$H$64,7,FALSE))+(K12*N12))*S12)+(T12*E12)</f>
        <v>227426.03896399116</v>
      </c>
      <c r="W12" s="90">
        <f t="shared" si="3"/>
        <v>960735.01053621597</v>
      </c>
      <c r="Y12" s="90">
        <f>F12*(VLOOKUP(A12, 'OE&amp;E by Cluster'!$B$6:$C$9,2,FALSE))</f>
        <v>803499.79400886828</v>
      </c>
      <c r="AA12" s="235">
        <f>'AB1058'!E10</f>
        <v>81942</v>
      </c>
      <c r="AB12" s="90">
        <f t="shared" si="4"/>
        <v>2856438.366944314</v>
      </c>
      <c r="AC12" s="91">
        <f t="shared" si="1"/>
        <v>9.5486440468536414E-4</v>
      </c>
      <c r="AD12" s="55">
        <f t="shared" si="5"/>
        <v>158691.02038579521</v>
      </c>
    </row>
    <row r="13" spans="1:30" ht="20.100000000000001" customHeight="1" x14ac:dyDescent="0.25">
      <c r="A13" s="65">
        <v>3</v>
      </c>
      <c r="B13" s="66" t="s">
        <v>41</v>
      </c>
      <c r="D13" s="67">
        <f>RAS!M13</f>
        <v>293</v>
      </c>
      <c r="E13" s="67">
        <f>RAS!Q13</f>
        <v>49</v>
      </c>
      <c r="F13" s="68">
        <f t="shared" si="0"/>
        <v>342</v>
      </c>
      <c r="H13" s="71">
        <f>(F13-1)*'AVG RAS salary'!$F$66</f>
        <v>27129604.305126436</v>
      </c>
      <c r="I13" s="71">
        <f>(F13-1)*(VLOOKUP(B13,'FTE Allotment Factor'!$B$6:$D$63,3))</f>
        <v>36130097.28231097</v>
      </c>
      <c r="J13" s="71">
        <f>(F13-1)*(VLOOKUP(B13,'FTE Allotment Factor'!$B$6:$H$63,7))</f>
        <v>36130097.28231097</v>
      </c>
      <c r="K13" s="235">
        <f>VLOOKUP(A13,'CEO Salary'!$G$7:$H$13,2)</f>
        <v>247837.75653896623</v>
      </c>
      <c r="L13" s="235">
        <f t="shared" si="6"/>
        <v>330060.18640273786</v>
      </c>
      <c r="N13" s="85">
        <f>VLOOKUP(B13,BLS!$B$5:$I$64,8, FALSE)</f>
        <v>1.3317590951919556</v>
      </c>
      <c r="O13" s="90">
        <f t="shared" si="7"/>
        <v>36460157.468713708</v>
      </c>
      <c r="Q13" s="87">
        <f>VLOOKUP(B13,'Program 10'!$A$7:$G$64,6)</f>
        <v>0.30315583391981576</v>
      </c>
      <c r="R13" s="8">
        <f>VLOOKUP(B13,'Program 10'!$A$7:$G$64,7)</f>
        <v>27003.15067611343</v>
      </c>
      <c r="S13" s="87">
        <f>VLOOKUP(B13,'Program 90'!$A$7:$G$64,6)</f>
        <v>0.30061331343336806</v>
      </c>
      <c r="T13" s="8">
        <f>VLOOKUP(B13,'Program 90'!$A$7:$G$64,7)</f>
        <v>26721.156810877619</v>
      </c>
      <c r="U13" s="72">
        <f>(D13*VLOOKUP(B13,'FTE Allotment Factor'!$B$7:$H$64,7,FALSE)*Q13)+(D13*R13)</f>
        <v>17323194.652407259</v>
      </c>
      <c r="V13" s="72">
        <f>((((E13-1)*VLOOKUP(B13,'FTE Allotment Factor'!$B$7:$H$64,7,FALSE))+(K13*N13))*S13)+(T13*E13)</f>
        <v>2937404.7841285886</v>
      </c>
      <c r="W13" s="90">
        <f t="shared" si="3"/>
        <v>20260599.436535846</v>
      </c>
      <c r="Y13" s="90">
        <f>F13*(VLOOKUP(A13, 'OE&amp;E by Cluster'!$B$6:$C$9,2,FALSE))</f>
        <v>8197585.7277301848</v>
      </c>
      <c r="AA13" s="235">
        <f>'AB1058'!E11</f>
        <v>1066478.0499999998</v>
      </c>
      <c r="AB13" s="90">
        <f t="shared" si="4"/>
        <v>63851864.582979739</v>
      </c>
      <c r="AC13" s="91">
        <f t="shared" si="1"/>
        <v>2.1344718432801401E-2</v>
      </c>
      <c r="AD13" s="55">
        <f t="shared" si="5"/>
        <v>186701.35842976533</v>
      </c>
    </row>
    <row r="14" spans="1:30" ht="20.100000000000001" customHeight="1" x14ac:dyDescent="0.25">
      <c r="A14" s="65">
        <v>1</v>
      </c>
      <c r="B14" s="66" t="s">
        <v>8</v>
      </c>
      <c r="D14" s="67">
        <f>RAS!M14</f>
        <v>20</v>
      </c>
      <c r="E14" s="67">
        <f>RAS!Q14</f>
        <v>7</v>
      </c>
      <c r="F14" s="68">
        <f t="shared" si="0"/>
        <v>27</v>
      </c>
      <c r="H14" s="71">
        <f>(F14-1)*'AVG RAS salary'!$F$66</f>
        <v>2068532.8795697577</v>
      </c>
      <c r="I14" s="71">
        <f>(F14-1)*(VLOOKUP(B14,'FTE Allotment Factor'!$B$6:$D$63,3))</f>
        <v>1553547.3207808784</v>
      </c>
      <c r="J14" s="71">
        <f>(F14-1)*(VLOOKUP(B14,'FTE Allotment Factor'!$B$6:$H$63,7))</f>
        <v>1618121.0381811447</v>
      </c>
      <c r="K14" s="235">
        <f>VLOOKUP(A14,'CEO Salary'!$G$7:$H$13,2)</f>
        <v>157919.41593777778</v>
      </c>
      <c r="L14" s="235">
        <f t="shared" si="6"/>
        <v>118603.52230922434</v>
      </c>
      <c r="N14" s="85">
        <f>VLOOKUP(B14,BLS!$B$5:$I$64,8, FALSE)</f>
        <v>0.75103825330734253</v>
      </c>
      <c r="O14" s="90">
        <f t="shared" si="7"/>
        <v>1736724.5604903691</v>
      </c>
      <c r="Q14" s="87">
        <f>VLOOKUP(B14,'Program 10'!$A$7:$G$64,6)</f>
        <v>0.3205259482104455</v>
      </c>
      <c r="R14" s="8">
        <f>VLOOKUP(B14,'Program 10'!$A$7:$G$64,7)</f>
        <v>27413.222000000002</v>
      </c>
      <c r="S14" s="87">
        <f>VLOOKUP(B14,'Program 90'!$A$7:$G$64,6)</f>
        <v>0.32839999999999997</v>
      </c>
      <c r="T14" s="8">
        <f>VLOOKUP(B14,'Program 90'!$A$7:$G$64,7)</f>
        <v>28837.426666666666</v>
      </c>
      <c r="U14" s="72">
        <f>(D14*VLOOKUP(B14,'FTE Allotment Factor'!$B$7:$H$64,7,FALSE)*Q14)+(D14*R14)</f>
        <v>947225.80929406313</v>
      </c>
      <c r="V14" s="72">
        <f>((((E14-1)*VLOOKUP(B14,'FTE Allotment Factor'!$B$7:$H$64,7,FALSE))+(K14*N14))*S14)+(T14*E14)</f>
        <v>363440.06391732849</v>
      </c>
      <c r="W14" s="90">
        <f t="shared" si="3"/>
        <v>1310665.8732113917</v>
      </c>
      <c r="Y14" s="90">
        <f>F14*(VLOOKUP(A14, 'OE&amp;E by Cluster'!$B$6:$C$9,2,FALSE))</f>
        <v>1205249.6910133024</v>
      </c>
      <c r="AA14" s="235">
        <f>'AB1058'!E12</f>
        <v>109081.95000000001</v>
      </c>
      <c r="AB14" s="90">
        <f t="shared" si="4"/>
        <v>4143558.1747150635</v>
      </c>
      <c r="AC14" s="91">
        <f t="shared" si="1"/>
        <v>1.3851292069049588E-3</v>
      </c>
      <c r="AD14" s="55">
        <f t="shared" si="5"/>
        <v>153465.11758203938</v>
      </c>
    </row>
    <row r="15" spans="1:30" ht="20.100000000000001" customHeight="1" x14ac:dyDescent="0.25">
      <c r="A15" s="65">
        <v>2</v>
      </c>
      <c r="B15" s="66" t="s">
        <v>20</v>
      </c>
      <c r="D15" s="67">
        <f>RAS!M15</f>
        <v>61</v>
      </c>
      <c r="E15" s="67">
        <f>RAS!Q15</f>
        <v>13</v>
      </c>
      <c r="F15" s="68">
        <f t="shared" si="0"/>
        <v>74</v>
      </c>
      <c r="H15" s="71">
        <f>(F15-1)*'AVG RAS salary'!$F$66</f>
        <v>5807803.8541766275</v>
      </c>
      <c r="I15" s="71">
        <f>(F15-1)*(VLOOKUP(B15,'FTE Allotment Factor'!$B$6:$D$63,3))</f>
        <v>6464306.0600789366</v>
      </c>
      <c r="J15" s="71">
        <f>(F15-1)*(VLOOKUP(B15,'FTE Allotment Factor'!$B$6:$H$63,7))</f>
        <v>6464306.0600789366</v>
      </c>
      <c r="K15" s="235">
        <f>VLOOKUP(A15,'CEO Salary'!$G$7:$H$13,2)</f>
        <v>218101.02419818181</v>
      </c>
      <c r="L15" s="235">
        <f t="shared" si="6"/>
        <v>242754.71552294822</v>
      </c>
      <c r="N15" s="85">
        <f>VLOOKUP(B15,BLS!$B$5:$I$64,8, FALSE)</f>
        <v>1.1130379438400269</v>
      </c>
      <c r="O15" s="90">
        <f t="shared" si="7"/>
        <v>6707060.7756018853</v>
      </c>
      <c r="Q15" s="87">
        <f>VLOOKUP(B15,'Program 10'!$A$7:$G$64,6)</f>
        <v>0.34608224521202052</v>
      </c>
      <c r="R15" s="8">
        <f>VLOOKUP(B15,'Program 10'!$A$7:$G$64,7)</f>
        <v>27112.086314847969</v>
      </c>
      <c r="S15" s="87">
        <f>VLOOKUP(B15,'Program 90'!$A$7:$G$64,6)</f>
        <v>0.35078999999999999</v>
      </c>
      <c r="T15" s="8">
        <f>VLOOKUP(B15,'Program 90'!$A$7:$G$64,7)</f>
        <v>17799.539541284401</v>
      </c>
      <c r="U15" s="72">
        <f>(D15*VLOOKUP(B15,'FTE Allotment Factor'!$B$7:$H$64,7,FALSE)*Q15)+(D15*R15)</f>
        <v>3523262.9481591112</v>
      </c>
      <c r="V15" s="72">
        <f>((((E15-1)*VLOOKUP(B15,'FTE Allotment Factor'!$B$7:$H$64,7,FALSE))+(K15*N15))*S15)+(T15*E15)</f>
        <v>689308.39376048651</v>
      </c>
      <c r="W15" s="90">
        <f t="shared" si="3"/>
        <v>4212571.3419195972</v>
      </c>
      <c r="Y15" s="90">
        <f>F15*(VLOOKUP(A15, 'OE&amp;E by Cluster'!$B$6:$C$9,2,FALSE))</f>
        <v>1773746.6194503908</v>
      </c>
      <c r="AA15" s="235">
        <f>'AB1058'!E13</f>
        <v>233657.45</v>
      </c>
      <c r="AB15" s="90">
        <f t="shared" si="4"/>
        <v>12459721.286971875</v>
      </c>
      <c r="AC15" s="91">
        <f t="shared" si="1"/>
        <v>4.1650975168622973E-3</v>
      </c>
      <c r="AD15" s="55">
        <f t="shared" si="5"/>
        <v>168374.61198610641</v>
      </c>
    </row>
    <row r="16" spans="1:30" ht="20.100000000000001" customHeight="1" x14ac:dyDescent="0.25">
      <c r="A16" s="65">
        <v>3</v>
      </c>
      <c r="B16" s="66" t="s">
        <v>42</v>
      </c>
      <c r="D16" s="67">
        <f>RAS!M16</f>
        <v>418</v>
      </c>
      <c r="E16" s="67">
        <f>RAS!Q16</f>
        <v>70</v>
      </c>
      <c r="F16" s="68">
        <f t="shared" si="0"/>
        <v>488</v>
      </c>
      <c r="H16" s="71">
        <f>(F16-1)*'AVG RAS salary'!$F$66</f>
        <v>38745212.013479695</v>
      </c>
      <c r="I16" s="71">
        <f>(F16-1)*(VLOOKUP(B16,'FTE Allotment Factor'!$B$6:$D$63,3))</f>
        <v>36451359.640319034</v>
      </c>
      <c r="J16" s="71">
        <f>(F16-1)*(VLOOKUP(B16,'FTE Allotment Factor'!$B$6:$H$63,7))</f>
        <v>36451359.640319034</v>
      </c>
      <c r="K16" s="235">
        <f>VLOOKUP(A16,'CEO Salary'!$G$7:$H$13,2)</f>
        <v>247837.75653896623</v>
      </c>
      <c r="L16" s="235">
        <f t="shared" si="6"/>
        <v>233164.89255262553</v>
      </c>
      <c r="N16" s="85">
        <f>VLOOKUP(B16,BLS!$B$5:$I$64,8, FALSE)</f>
        <v>0.94079649448394775</v>
      </c>
      <c r="O16" s="90">
        <f t="shared" si="7"/>
        <v>36684524.532871664</v>
      </c>
      <c r="Q16" s="87">
        <f>VLOOKUP(B16,'Program 10'!$A$7:$G$64,6)</f>
        <v>0.58366424887108048</v>
      </c>
      <c r="R16" s="8">
        <f>VLOOKUP(B16,'Program 10'!$A$7:$G$64,7)</f>
        <v>17153.264359136676</v>
      </c>
      <c r="S16" s="87">
        <f>VLOOKUP(B16,'Program 90'!$A$7:$G$64,6)</f>
        <v>0.59126557318481521</v>
      </c>
      <c r="T16" s="8">
        <f>VLOOKUP(B16,'Program 90'!$A$7:$G$64,7)</f>
        <v>17310.021689609115</v>
      </c>
      <c r="U16" s="72">
        <f>(D16*VLOOKUP(B16,'FTE Allotment Factor'!$B$7:$H$64,7,FALSE)*Q16)+(D16*R16)</f>
        <v>25431047.204223663</v>
      </c>
      <c r="V16" s="72">
        <f>((((E16-1)*VLOOKUP(B16,'FTE Allotment Factor'!$B$7:$H$64,7,FALSE))+(K16*N16))*S16)+(T16*E16)</f>
        <v>4403194.1786150327</v>
      </c>
      <c r="W16" s="90">
        <f t="shared" si="3"/>
        <v>29834241.382838696</v>
      </c>
      <c r="Y16" s="90">
        <f>F16*(VLOOKUP(A16, 'OE&amp;E by Cluster'!$B$6:$C$9,2,FALSE))</f>
        <v>11697139.868807983</v>
      </c>
      <c r="AA16" s="235">
        <f>'AB1058'!E14</f>
        <v>2670615.7200000002</v>
      </c>
      <c r="AB16" s="90">
        <f t="shared" si="4"/>
        <v>75545290.064518347</v>
      </c>
      <c r="AC16" s="91">
        <f t="shared" si="1"/>
        <v>2.5253654781778715E-2</v>
      </c>
      <c r="AD16" s="55">
        <f t="shared" si="5"/>
        <v>154805.92226335726</v>
      </c>
    </row>
    <row r="17" spans="1:30" ht="20.100000000000001" customHeight="1" x14ac:dyDescent="0.25">
      <c r="A17" s="65">
        <v>1</v>
      </c>
      <c r="B17" s="66" t="s">
        <v>9</v>
      </c>
      <c r="C17" s="83"/>
      <c r="D17" s="67">
        <f>RAS!M17</f>
        <v>16</v>
      </c>
      <c r="E17" s="67">
        <f>RAS!Q17</f>
        <v>7</v>
      </c>
      <c r="F17" s="68">
        <f t="shared" si="0"/>
        <v>23</v>
      </c>
      <c r="G17" s="83"/>
      <c r="H17" s="71">
        <f>(F17-1)*'AVG RAS salary'!$F$66</f>
        <v>1750297.0519436412</v>
      </c>
      <c r="I17" s="71">
        <f>(F17-1)*(VLOOKUP(B17,'FTE Allotment Factor'!$B$6:$D$63,3))</f>
        <v>1339715.2206486312</v>
      </c>
      <c r="J17" s="71">
        <f>(F17-1)*(VLOOKUP(B17,'FTE Allotment Factor'!$B$6:$H$63,7))</f>
        <v>1369179.3399994301</v>
      </c>
      <c r="K17" s="235">
        <f>VLOOKUP(A17,'CEO Salary'!$G$7:$H$13,2)</f>
        <v>157919.41593777778</v>
      </c>
      <c r="L17" s="235">
        <f t="shared" si="6"/>
        <v>120874.93659024646</v>
      </c>
      <c r="M17" s="83"/>
      <c r="N17" s="85">
        <f>VLOOKUP(B17,BLS!$B$5:$I$64,8, FALSE)</f>
        <v>0.76542162895202637</v>
      </c>
      <c r="O17" s="90">
        <f t="shared" si="7"/>
        <v>1490054.2765896765</v>
      </c>
      <c r="P17" s="83"/>
      <c r="Q17" s="87">
        <f>VLOOKUP(B17,'Program 10'!$A$7:$G$64,6)</f>
        <v>0.1757</v>
      </c>
      <c r="R17" s="8">
        <f>VLOOKUP(B17,'Program 10'!$A$7:$G$64,7)</f>
        <v>41373.161274900398</v>
      </c>
      <c r="S17" s="87">
        <f>VLOOKUP(B17,'Program 90'!$A$7:$G$64,6)</f>
        <v>0.17570000000000002</v>
      </c>
      <c r="T17" s="8">
        <f>VLOOKUP(B17,'Program 90'!$A$7:$G$64,7)</f>
        <v>42567.596129032259</v>
      </c>
      <c r="U17" s="72">
        <f>(D17*VLOOKUP(B17,'FTE Allotment Factor'!$B$7:$H$64,7,FALSE)*Q17)+(D17*R17)</f>
        <v>836926.80588051537</v>
      </c>
      <c r="V17" s="72">
        <f>((((E17-1)*VLOOKUP(B17,'FTE Allotment Factor'!$B$7:$H$64,7,FALSE))+(K17*N17))*S17)+(T17*E17)</f>
        <v>384819.483817923</v>
      </c>
      <c r="W17" s="90">
        <f t="shared" si="3"/>
        <v>1221746.2896984383</v>
      </c>
      <c r="X17" s="83"/>
      <c r="Y17" s="90">
        <f>F17*(VLOOKUP(A17, 'OE&amp;E by Cluster'!$B$6:$C$9,2,FALSE))</f>
        <v>1026694.1812335539</v>
      </c>
      <c r="Z17" s="83"/>
      <c r="AA17" s="235">
        <f>'AB1058'!E15</f>
        <v>141063.53000000003</v>
      </c>
      <c r="AB17" s="90">
        <f t="shared" si="4"/>
        <v>3597431.2175216684</v>
      </c>
      <c r="AC17" s="91">
        <f t="shared" si="1"/>
        <v>1.2025671751461735E-3</v>
      </c>
      <c r="AD17" s="55">
        <f t="shared" si="5"/>
        <v>156410.0529357247</v>
      </c>
    </row>
    <row r="18" spans="1:30" ht="20.100000000000001" customHeight="1" x14ac:dyDescent="0.25">
      <c r="A18" s="65">
        <v>2</v>
      </c>
      <c r="B18" s="66" t="s">
        <v>21</v>
      </c>
      <c r="D18" s="67">
        <f>RAS!M18</f>
        <v>69</v>
      </c>
      <c r="E18" s="67">
        <f>RAS!Q18</f>
        <v>14</v>
      </c>
      <c r="F18" s="68">
        <f t="shared" si="0"/>
        <v>83</v>
      </c>
      <c r="H18" s="71">
        <f>(F18-1)*'AVG RAS salary'!$F$66</f>
        <v>6523834.4663353898</v>
      </c>
      <c r="I18" s="71">
        <f>(F18-1)*(VLOOKUP(B18,'FTE Allotment Factor'!$B$6:$D$63,3))</f>
        <v>4860321.6466175346</v>
      </c>
      <c r="J18" s="71">
        <f>(F18-1)*(VLOOKUP(B18,'FTE Allotment Factor'!$B$6:$H$63,7))</f>
        <v>4860321.6466175346</v>
      </c>
      <c r="K18" s="235">
        <f>VLOOKUP(A18,'CEO Salary'!$G$7:$H$13,2)</f>
        <v>218101.02419818181</v>
      </c>
      <c r="L18" s="235">
        <f t="shared" si="6"/>
        <v>162487.43503992227</v>
      </c>
      <c r="N18" s="85">
        <f>VLOOKUP(B18,BLS!$B$5:$I$64,8, FALSE)</f>
        <v>0.74500995874404907</v>
      </c>
      <c r="O18" s="90">
        <f t="shared" si="7"/>
        <v>5022809.0816574572</v>
      </c>
      <c r="Q18" s="87">
        <f>VLOOKUP(B18,'Program 10'!$A$7:$G$64,6)</f>
        <v>0.41904738652406359</v>
      </c>
      <c r="R18" s="8">
        <f>VLOOKUP(B18,'Program 10'!$A$7:$G$64,7)</f>
        <v>20441.782562277593</v>
      </c>
      <c r="S18" s="87">
        <f>VLOOKUP(B18,'Program 90'!$A$7:$G$64,6)</f>
        <v>0.42897191210904007</v>
      </c>
      <c r="T18" s="8">
        <f>VLOOKUP(B18,'Program 90'!$A$7:$G$64,7)</f>
        <v>19298.009230769228</v>
      </c>
      <c r="U18" s="72">
        <f>(D18*VLOOKUP(B18,'FTE Allotment Factor'!$B$7:$H$64,7,FALSE)*Q18)+(D18*R18)</f>
        <v>3124295.8111144388</v>
      </c>
      <c r="V18" s="72">
        <f>((((E18-1)*VLOOKUP(B18,'FTE Allotment Factor'!$B$7:$H$64,7,FALSE))+(K18*N18))*S18)+(T18*E18)</f>
        <v>670414.17630900466</v>
      </c>
      <c r="W18" s="90">
        <f t="shared" si="3"/>
        <v>3794709.9874234432</v>
      </c>
      <c r="Y18" s="90">
        <f>F18*(VLOOKUP(A18, 'OE&amp;E by Cluster'!$B$6:$C$9,2,FALSE))</f>
        <v>1989472.5596538167</v>
      </c>
      <c r="AA18" s="235">
        <f>'AB1058'!E16</f>
        <v>218384.99</v>
      </c>
      <c r="AB18" s="90">
        <f t="shared" si="4"/>
        <v>10588606.638734717</v>
      </c>
      <c r="AC18" s="91">
        <f t="shared" si="1"/>
        <v>3.5396120187808789E-3</v>
      </c>
      <c r="AD18" s="55">
        <f t="shared" si="5"/>
        <v>127573.57396065924</v>
      </c>
    </row>
    <row r="19" spans="1:30" ht="20.100000000000001" customHeight="1" x14ac:dyDescent="0.25">
      <c r="A19" s="65">
        <v>2</v>
      </c>
      <c r="B19" s="66" t="s">
        <v>22</v>
      </c>
      <c r="D19" s="67">
        <f>RAS!M19</f>
        <v>76</v>
      </c>
      <c r="E19" s="67">
        <f>RAS!Q19</f>
        <v>17</v>
      </c>
      <c r="F19" s="68">
        <f t="shared" si="0"/>
        <v>93</v>
      </c>
      <c r="H19" s="71">
        <f>(F19-1)*'AVG RAS salary'!$F$66</f>
        <v>7319424.0354006812</v>
      </c>
      <c r="I19" s="71">
        <f>(F19-1)*(VLOOKUP(B19,'FTE Allotment Factor'!$B$6:$D$63,3))</f>
        <v>5130722.3627055651</v>
      </c>
      <c r="J19" s="71">
        <f>(F19-1)*(VLOOKUP(B19,'FTE Allotment Factor'!$B$6:$H$63,7))</f>
        <v>5130722.3627055651</v>
      </c>
      <c r="K19" s="235">
        <f>VLOOKUP(A19,'CEO Salary'!$G$7:$H$13,2)</f>
        <v>218101.02419818181</v>
      </c>
      <c r="L19" s="235">
        <f t="shared" si="6"/>
        <v>152883.04062866629</v>
      </c>
      <c r="N19" s="85">
        <f>VLOOKUP(B19,BLS!$B$5:$I$64,8, FALSE)</f>
        <v>0.7009735107421875</v>
      </c>
      <c r="O19" s="90">
        <f t="shared" si="7"/>
        <v>5283605.4033342311</v>
      </c>
      <c r="Q19" s="87">
        <f>VLOOKUP(B19,'Program 10'!$A$7:$G$64,6)</f>
        <v>0.23355157621196926</v>
      </c>
      <c r="R19" s="8">
        <f>VLOOKUP(B19,'Program 10'!$A$7:$G$64,7)</f>
        <v>6449.7355742296868</v>
      </c>
      <c r="S19" s="87">
        <f>VLOOKUP(B19,'Program 90'!$A$7:$G$64,6)</f>
        <v>0.22988570295934521</v>
      </c>
      <c r="T19" s="8">
        <f>VLOOKUP(B19,'Program 90'!$A$7:$G$64,7)</f>
        <v>9824.10866141732</v>
      </c>
      <c r="U19" s="72">
        <f>(D19*VLOOKUP(B19,'FTE Allotment Factor'!$B$7:$H$64,7,FALSE)*Q19)+(D19*R19)</f>
        <v>1480070.2342241427</v>
      </c>
      <c r="V19" s="72">
        <f>((((E19-1)*VLOOKUP(B19,'FTE Allotment Factor'!$B$7:$H$64,7,FALSE))+(K19*N19))*S19)+(T19*E19)</f>
        <v>407282.3798208473</v>
      </c>
      <c r="W19" s="90">
        <f t="shared" si="3"/>
        <v>1887352.6140449899</v>
      </c>
      <c r="Y19" s="90">
        <f>F19*(VLOOKUP(A19, 'OE&amp;E by Cluster'!$B$6:$C$9,2,FALSE))</f>
        <v>2229168.0487687346</v>
      </c>
      <c r="AA19" s="235">
        <f>'AB1058'!E17</f>
        <v>310595.51999999996</v>
      </c>
      <c r="AB19" s="90">
        <f t="shared" si="4"/>
        <v>9089530.5461479556</v>
      </c>
      <c r="AC19" s="91">
        <f t="shared" si="1"/>
        <v>3.038493416926647E-3</v>
      </c>
      <c r="AD19" s="55">
        <f t="shared" si="5"/>
        <v>97736.887592988773</v>
      </c>
    </row>
    <row r="20" spans="1:30" ht="20.100000000000001" customHeight="1" x14ac:dyDescent="0.25">
      <c r="A20" s="65">
        <v>1</v>
      </c>
      <c r="B20" s="66" t="s">
        <v>10</v>
      </c>
      <c r="D20" s="67">
        <f>RAS!M20</f>
        <v>15</v>
      </c>
      <c r="E20" s="67">
        <f>RAS!Q20</f>
        <v>6</v>
      </c>
      <c r="F20" s="68">
        <f t="shared" si="0"/>
        <v>21</v>
      </c>
      <c r="H20" s="71">
        <f>(F20-1)*'AVG RAS salary'!$F$66</f>
        <v>1591179.1381305829</v>
      </c>
      <c r="I20" s="71">
        <f>(F20-1)*(VLOOKUP(B20,'FTE Allotment Factor'!$B$6:$D$63,3))</f>
        <v>1256061.8920596621</v>
      </c>
      <c r="J20" s="71">
        <f>(F20-1)*(VLOOKUP(B20,'FTE Allotment Factor'!$B$6:$H$63,7))</f>
        <v>1256061.8920596621</v>
      </c>
      <c r="K20" s="235">
        <f>VLOOKUP(A20,'CEO Salary'!$G$7:$H$13,2)</f>
        <v>157919.41593777778</v>
      </c>
      <c r="L20" s="235">
        <f t="shared" si="6"/>
        <v>124660.10622085183</v>
      </c>
      <c r="N20" s="85">
        <f>VLOOKUP(B20,BLS!$B$5:$I$64,8, FALSE)</f>
        <v>0.78939062356948853</v>
      </c>
      <c r="O20" s="90">
        <f t="shared" si="7"/>
        <v>1380721.998280514</v>
      </c>
      <c r="Q20" s="87">
        <f>VLOOKUP(B20,'Program 10'!$A$7:$G$64,6)</f>
        <v>0.19949999999999993</v>
      </c>
      <c r="R20" s="8">
        <f>VLOOKUP(B20,'Program 10'!$A$7:$G$64,7)</f>
        <v>15629.59453993934</v>
      </c>
      <c r="S20" s="87">
        <f>VLOOKUP(B20,'Program 90'!$A$7:$G$64,6)</f>
        <v>0.18800607893437474</v>
      </c>
      <c r="T20" s="8">
        <f>VLOOKUP(B20,'Program 90'!$A$7:$G$64,7)</f>
        <v>15609.555555555558</v>
      </c>
      <c r="U20" s="72">
        <f>(D20*VLOOKUP(B20,'FTE Allotment Factor'!$B$7:$H$64,7,FALSE)*Q20)+(D20*R20)</f>
        <v>422382.17869851697</v>
      </c>
      <c r="V20" s="72">
        <f>((((E20-1)*VLOOKUP(B20,'FTE Allotment Factor'!$B$7:$H$64,7,FALSE))+(K20*N20))*S20)+(T20*E20)</f>
        <v>176131.00890971557</v>
      </c>
      <c r="W20" s="90">
        <f t="shared" si="3"/>
        <v>598513.18760823249</v>
      </c>
      <c r="Y20" s="90">
        <f>F20*(VLOOKUP(A20, 'OE&amp;E by Cluster'!$B$6:$C$9,2,FALSE))</f>
        <v>937416.42634367966</v>
      </c>
      <c r="AA20" s="235">
        <f>'AB1058'!E18</f>
        <v>37206.83</v>
      </c>
      <c r="AB20" s="90">
        <f t="shared" si="4"/>
        <v>2879444.7822324261</v>
      </c>
      <c r="AC20" s="91">
        <f t="shared" si="1"/>
        <v>9.625551034563401E-4</v>
      </c>
      <c r="AD20" s="55">
        <f t="shared" si="5"/>
        <v>137116.41820154409</v>
      </c>
    </row>
    <row r="21" spans="1:30" ht="20.100000000000001" customHeight="1" x14ac:dyDescent="0.25">
      <c r="A21" s="65">
        <v>3</v>
      </c>
      <c r="B21" s="66" t="s">
        <v>43</v>
      </c>
      <c r="D21" s="67">
        <f>RAS!M21</f>
        <v>422</v>
      </c>
      <c r="E21" s="67">
        <f>RAS!Q21</f>
        <v>75</v>
      </c>
      <c r="F21" s="68">
        <f t="shared" si="0"/>
        <v>497</v>
      </c>
      <c r="H21" s="71">
        <f>(F21-1)*'AVG RAS salary'!$F$66</f>
        <v>39461242.625638455</v>
      </c>
      <c r="I21" s="71">
        <f>(F21-1)*(VLOOKUP(B21,'FTE Allotment Factor'!$B$6:$D$63,3))</f>
        <v>36613613.294693947</v>
      </c>
      <c r="J21" s="71">
        <f>(F21-1)*(VLOOKUP(B21,'FTE Allotment Factor'!$B$6:$H$63,7))</f>
        <v>36613613.294693947</v>
      </c>
      <c r="K21" s="235">
        <f>VLOOKUP(A21,'CEO Salary'!$G$7:$H$13,2)</f>
        <v>247837.75653896623</v>
      </c>
      <c r="L21" s="235">
        <f t="shared" si="6"/>
        <v>229953.11789412764</v>
      </c>
      <c r="N21" s="85">
        <f>VLOOKUP(B21,BLS!$B$5:$I$64,8, FALSE)</f>
        <v>0.9278373122215271</v>
      </c>
      <c r="O21" s="90">
        <f t="shared" si="7"/>
        <v>36843566.412588075</v>
      </c>
      <c r="Q21" s="87">
        <f>VLOOKUP(B21,'Program 10'!$A$7:$G$64,6)</f>
        <v>0.49365004233502624</v>
      </c>
      <c r="R21" s="8">
        <f>VLOOKUP(B21,'Program 10'!$A$7:$G$64,7)</f>
        <v>20115.107595905385</v>
      </c>
      <c r="S21" s="87">
        <f>VLOOKUP(B21,'Program 90'!$A$7:$G$64,6)</f>
        <v>0.50152603393889317</v>
      </c>
      <c r="T21" s="8">
        <f>VLOOKUP(B21,'Program 90'!$A$7:$G$64,7)</f>
        <v>20749.91619747896</v>
      </c>
      <c r="U21" s="72">
        <f>(D21*VLOOKUP(B21,'FTE Allotment Factor'!$B$7:$H$64,7,FALSE)*Q21)+(D21*R21)</f>
        <v>23866316.453356721</v>
      </c>
      <c r="V21" s="72">
        <f>((((E21-1)*VLOOKUP(B21,'FTE Allotment Factor'!$B$7:$H$64,7,FALSE))+(K21*N21))*S21)+(T21*E21)</f>
        <v>4411164.6164832581</v>
      </c>
      <c r="W21" s="90">
        <f t="shared" si="3"/>
        <v>28277481.069839977</v>
      </c>
      <c r="Y21" s="90">
        <f>F21*(VLOOKUP(A21, 'OE&amp;E by Cluster'!$B$6:$C$9,2,FALSE))</f>
        <v>11912865.809011409</v>
      </c>
      <c r="AA21" s="235">
        <f>'AB1058'!E19</f>
        <v>1660648.33</v>
      </c>
      <c r="AB21" s="90">
        <f t="shared" si="4"/>
        <v>75373264.961439461</v>
      </c>
      <c r="AC21" s="91">
        <f t="shared" si="1"/>
        <v>2.519614937590571E-2</v>
      </c>
      <c r="AD21" s="55">
        <f t="shared" si="5"/>
        <v>151656.46873529066</v>
      </c>
    </row>
    <row r="22" spans="1:30" ht="20.100000000000001" customHeight="1" x14ac:dyDescent="0.25">
      <c r="A22" s="65">
        <v>2</v>
      </c>
      <c r="B22" s="66" t="s">
        <v>23</v>
      </c>
      <c r="D22" s="67">
        <f>RAS!M22</f>
        <v>83</v>
      </c>
      <c r="E22" s="67">
        <f>RAS!Q22</f>
        <v>18</v>
      </c>
      <c r="F22" s="68">
        <f t="shared" si="0"/>
        <v>101</v>
      </c>
      <c r="H22" s="71">
        <f>(F22-1)*'AVG RAS salary'!$F$66</f>
        <v>7955895.6906529143</v>
      </c>
      <c r="I22" s="71">
        <f>(F22-1)*(VLOOKUP(B22,'FTE Allotment Factor'!$B$6:$D$63,3))</f>
        <v>6624421.1107295109</v>
      </c>
      <c r="J22" s="71">
        <f>(F22-1)*(VLOOKUP(B22,'FTE Allotment Factor'!$B$6:$H$63,7))</f>
        <v>6624421.1107295109</v>
      </c>
      <c r="K22" s="235">
        <f>VLOOKUP(A22,'CEO Salary'!$G$7:$H$13,2)</f>
        <v>218101.02419818181</v>
      </c>
      <c r="L22" s="235">
        <f t="shared" si="6"/>
        <v>181600.29808681342</v>
      </c>
      <c r="N22" s="85">
        <f>VLOOKUP(B22,BLS!$B$5:$I$64,8, FALSE)</f>
        <v>0.83264303207397461</v>
      </c>
      <c r="O22" s="90">
        <f t="shared" si="7"/>
        <v>6806021.4088163245</v>
      </c>
      <c r="Q22" s="87">
        <f>VLOOKUP(B22,'Program 10'!$A$7:$G$64,6)</f>
        <v>0.16527776376425321</v>
      </c>
      <c r="R22" s="8">
        <f>VLOOKUP(B22,'Program 10'!$A$7:$G$64,7)</f>
        <v>18611.862567567561</v>
      </c>
      <c r="S22" s="87">
        <f>VLOOKUP(B22,'Program 90'!$A$7:$G$64,6)</f>
        <v>0.16570000000000004</v>
      </c>
      <c r="T22" s="8">
        <f>VLOOKUP(B22,'Program 90'!$A$7:$G$64,7)</f>
        <v>20368.328666666665</v>
      </c>
      <c r="U22" s="72">
        <f>(D22*VLOOKUP(B22,'FTE Allotment Factor'!$B$7:$H$64,7,FALSE)*Q22)+(D22*R22)</f>
        <v>2453526.2842617971</v>
      </c>
      <c r="V22" s="72">
        <f>((((E22-1)*VLOOKUP(B22,'FTE Allotment Factor'!$B$7:$H$64,7,FALSE))+(K22*N22))*S22)+(T22*E22)</f>
        <v>583324.40366112464</v>
      </c>
      <c r="W22" s="90">
        <f t="shared" si="3"/>
        <v>3036850.687922922</v>
      </c>
      <c r="Y22" s="90">
        <f>F22*(VLOOKUP(A22, 'OE&amp;E by Cluster'!$B$6:$C$9,2,FALSE))</f>
        <v>2420924.4400606686</v>
      </c>
      <c r="AA22" s="235">
        <f>'AB1058'!E20</f>
        <v>271810.34999999998</v>
      </c>
      <c r="AB22" s="90">
        <f t="shared" si="4"/>
        <v>11991986.186799916</v>
      </c>
      <c r="AC22" s="91">
        <f t="shared" si="1"/>
        <v>4.008740704426003E-3</v>
      </c>
      <c r="AD22" s="55">
        <f t="shared" si="5"/>
        <v>118732.53650296947</v>
      </c>
    </row>
    <row r="23" spans="1:30" ht="20.100000000000001" customHeight="1" x14ac:dyDescent="0.25">
      <c r="A23" s="65">
        <v>2</v>
      </c>
      <c r="B23" s="66" t="s">
        <v>24</v>
      </c>
      <c r="D23" s="67">
        <f>RAS!M23</f>
        <v>48</v>
      </c>
      <c r="E23" s="67">
        <f>RAS!Q23</f>
        <v>10</v>
      </c>
      <c r="F23" s="68">
        <f t="shared" si="0"/>
        <v>58</v>
      </c>
      <c r="H23" s="71">
        <f>(F23-1)*'AVG RAS salary'!$F$66</f>
        <v>4534860.5436721612</v>
      </c>
      <c r="I23" s="71">
        <f>(F23-1)*(VLOOKUP(B23,'FTE Allotment Factor'!$B$6:$D$63,3))</f>
        <v>3470847.3468837561</v>
      </c>
      <c r="J23" s="71">
        <f>(F23-1)*(VLOOKUP(B23,'FTE Allotment Factor'!$B$6:$H$63,7))</f>
        <v>3470847.3468837561</v>
      </c>
      <c r="K23" s="235">
        <f>VLOOKUP(A23,'CEO Salary'!$G$7:$H$13,2)</f>
        <v>218101.02419818181</v>
      </c>
      <c r="L23" s="235">
        <f t="shared" si="6"/>
        <v>166928.03536090718</v>
      </c>
      <c r="N23" s="85">
        <f>VLOOKUP(B23,BLS!$B$5:$I$64,8, FALSE)</f>
        <v>0.76537024974822998</v>
      </c>
      <c r="O23" s="90">
        <f t="shared" si="7"/>
        <v>3637775.3822446633</v>
      </c>
      <c r="Q23" s="87">
        <f>VLOOKUP(B23,'Program 10'!$A$7:$G$64,6)</f>
        <v>0.32361000000000001</v>
      </c>
      <c r="R23" s="8">
        <f>VLOOKUP(B23,'Program 10'!$A$7:$G$64,7)</f>
        <v>13784.859999999991</v>
      </c>
      <c r="S23" s="87">
        <f>VLOOKUP(B23,'Program 90'!$A$7:$G$64,6)</f>
        <v>0.32361000000000001</v>
      </c>
      <c r="T23" s="8">
        <f>VLOOKUP(B23,'Program 90'!$A$7:$G$64,7)</f>
        <v>13784.86</v>
      </c>
      <c r="U23" s="72">
        <f>(D23*VLOOKUP(B23,'FTE Allotment Factor'!$B$7:$H$64,7,FALSE)*Q23)+(D23*R23)</f>
        <v>1607526.6778316225</v>
      </c>
      <c r="V23" s="72">
        <f>((((E23-1)*VLOOKUP(B23,'FTE Allotment Factor'!$B$7:$H$64,7,FALSE))+(K23*N23))*S23)+(T23*E23)</f>
        <v>369215.69361657253</v>
      </c>
      <c r="W23" s="90">
        <f t="shared" si="3"/>
        <v>1976742.3714481951</v>
      </c>
      <c r="Y23" s="90">
        <f>F23*(VLOOKUP(A23, 'OE&amp;E by Cluster'!$B$6:$C$9,2,FALSE))</f>
        <v>1390233.8368665227</v>
      </c>
      <c r="AA23" s="235">
        <f>'AB1058'!E21</f>
        <v>202972.9</v>
      </c>
      <c r="AB23" s="90">
        <f t="shared" si="4"/>
        <v>6801778.6905593798</v>
      </c>
      <c r="AC23" s="91">
        <f t="shared" si="1"/>
        <v>2.2737323638144483E-3</v>
      </c>
      <c r="AD23" s="55">
        <f t="shared" si="5"/>
        <v>117272.04638895483</v>
      </c>
    </row>
    <row r="24" spans="1:30" ht="20.100000000000001" customHeight="1" x14ac:dyDescent="0.25">
      <c r="A24" s="65">
        <v>1</v>
      </c>
      <c r="B24" s="66" t="s">
        <v>11</v>
      </c>
      <c r="D24" s="67">
        <f>RAS!M24</f>
        <v>17</v>
      </c>
      <c r="E24" s="67">
        <f>RAS!Q24</f>
        <v>6</v>
      </c>
      <c r="F24" s="68">
        <f t="shared" si="0"/>
        <v>23</v>
      </c>
      <c r="H24" s="71">
        <f>(F24-1)*'AVG RAS salary'!$F$66</f>
        <v>1750297.0519436412</v>
      </c>
      <c r="I24" s="71">
        <f>(F24-1)*(VLOOKUP(B24,'FTE Allotment Factor'!$B$6:$D$63,3))</f>
        <v>1387885.1706931281</v>
      </c>
      <c r="J24" s="71">
        <f>(F24-1)*(VLOOKUP(B24,'FTE Allotment Factor'!$B$6:$H$63,7))</f>
        <v>1387885.1706931281</v>
      </c>
      <c r="K24" s="235">
        <f>VLOOKUP(A24,'CEO Salary'!$G$7:$H$13,2)</f>
        <v>157919.41593777778</v>
      </c>
      <c r="L24" s="235">
        <f t="shared" si="6"/>
        <v>125221.03908086746</v>
      </c>
      <c r="N24" s="85">
        <f>VLOOKUP(B24,BLS!$B$5:$I$64,8, FALSE)</f>
        <v>0.79294264316558838</v>
      </c>
      <c r="O24" s="90">
        <f t="shared" si="7"/>
        <v>1513106.2097739957</v>
      </c>
      <c r="Q24" s="87">
        <f>VLOOKUP(B24,'Program 10'!$A$7:$G$64,6)</f>
        <v>0.17735935779078002</v>
      </c>
      <c r="R24" s="8">
        <f>VLOOKUP(B24,'Program 10'!$A$7:$G$64,7)</f>
        <v>13644.75333333333</v>
      </c>
      <c r="S24" s="87">
        <f>VLOOKUP(B24,'Program 90'!$A$7:$G$64,6)</f>
        <v>0.18099999999999994</v>
      </c>
      <c r="T24" s="8">
        <f>VLOOKUP(B24,'Program 90'!$A$7:$G$64,7)</f>
        <v>14743.36</v>
      </c>
      <c r="U24" s="72">
        <f>(D24*VLOOKUP(B24,'FTE Allotment Factor'!$B$7:$H$64,7,FALSE)*Q24)+(D24*R24)</f>
        <v>422171.04228235595</v>
      </c>
      <c r="V24" s="72">
        <f>((((E24-1)*VLOOKUP(B24,'FTE Allotment Factor'!$B$7:$H$64,7,FALSE))+(K24*N24))*S24)+(T24*E24)</f>
        <v>168217.71714078612</v>
      </c>
      <c r="W24" s="90">
        <f t="shared" si="3"/>
        <v>590388.75942314207</v>
      </c>
      <c r="Y24" s="90">
        <f>F24*(VLOOKUP(A24, 'OE&amp;E by Cluster'!$B$6:$C$9,2,FALSE))</f>
        <v>1026694.1812335539</v>
      </c>
      <c r="AA24" s="235">
        <f>'AB1058'!E22</f>
        <v>118689.85</v>
      </c>
      <c r="AB24" s="90">
        <f t="shared" si="4"/>
        <v>3011499.3004306913</v>
      </c>
      <c r="AC24" s="91">
        <f t="shared" si="1"/>
        <v>1.0066989436891994E-3</v>
      </c>
      <c r="AD24" s="55">
        <f t="shared" si="5"/>
        <v>130934.75219263876</v>
      </c>
    </row>
    <row r="25" spans="1:30" ht="20.100000000000001" customHeight="1" x14ac:dyDescent="0.25">
      <c r="A25" s="65">
        <v>4</v>
      </c>
      <c r="B25" s="66" t="s">
        <v>54</v>
      </c>
      <c r="D25" s="67">
        <f>RAS!M25</f>
        <v>3708</v>
      </c>
      <c r="E25" s="67">
        <f>RAS!Q25</f>
        <v>659</v>
      </c>
      <c r="F25" s="68">
        <f t="shared" si="0"/>
        <v>4367</v>
      </c>
      <c r="H25" s="71">
        <f>(F25-1)*'AVG RAS salary'!$F$66</f>
        <v>347354405.85390621</v>
      </c>
      <c r="I25" s="71">
        <f>(F25-1)*(VLOOKUP(B25,'FTE Allotment Factor'!$B$6:$D$63,3))</f>
        <v>475794833.73374724</v>
      </c>
      <c r="J25" s="71">
        <f>(F25-1)*(VLOOKUP(B25,'FTE Allotment Factor'!$B$6:$H$63,7))</f>
        <v>475794833.73374724</v>
      </c>
      <c r="K25" s="235">
        <f>VLOOKUP(A25,'CEO Salary'!$G$7:$H$13,2)</f>
        <v>321923.64124999999</v>
      </c>
      <c r="L25" s="235">
        <f t="shared" si="6"/>
        <v>440960.59466114221</v>
      </c>
      <c r="N25" s="85">
        <f>VLOOKUP(B25,BLS!$B$5:$I$64,8, FALSE)</f>
        <v>1.3697676658630371</v>
      </c>
      <c r="O25" s="90">
        <f t="shared" si="7"/>
        <v>476235794.32840836</v>
      </c>
      <c r="Q25" s="87">
        <f>VLOOKUP(B25,'Program 10'!$A$7:$G$64,6)</f>
        <v>0.32411764027833856</v>
      </c>
      <c r="R25" s="8">
        <f>VLOOKUP(B25,'Program 10'!$A$7:$G$64,7)</f>
        <v>28984.510991148181</v>
      </c>
      <c r="S25" s="87">
        <f>VLOOKUP(B25,'Program 90'!$A$7:$G$64,6)</f>
        <v>0.42775261172650703</v>
      </c>
      <c r="T25" s="8">
        <f>VLOOKUP(B25,'Program 90'!$A$7:$G$64,7)</f>
        <v>24022.628119590936</v>
      </c>
      <c r="U25" s="72">
        <f>(D25*VLOOKUP(B25,'FTE Allotment Factor'!$B$7:$H$64,7,FALSE)*Q25)+(D25*R25)</f>
        <v>238446544.17749435</v>
      </c>
      <c r="V25" s="72">
        <f>((((E25-1)*VLOOKUP(B25,'FTE Allotment Factor'!$B$7:$H$64,7,FALSE))+(K25*N25))*S25)+(T25*E25)</f>
        <v>46692413.882098965</v>
      </c>
      <c r="W25" s="90">
        <f t="shared" si="3"/>
        <v>285138958.05959332</v>
      </c>
      <c r="Y25" s="90">
        <f>F25*(VLOOKUP(A25, 'OE&amp;E by Cluster'!$B$6:$C$9,2,FALSE))</f>
        <v>104675020.09648456</v>
      </c>
      <c r="AA25" s="235">
        <f>'AB1058'!E23</f>
        <v>10894369.18</v>
      </c>
      <c r="AB25" s="90">
        <f t="shared" si="4"/>
        <v>855155403.30448627</v>
      </c>
      <c r="AC25" s="91">
        <f t="shared" si="1"/>
        <v>0.28586559561000652</v>
      </c>
      <c r="AD25" s="55">
        <f t="shared" si="5"/>
        <v>195822.1670035462</v>
      </c>
    </row>
    <row r="26" spans="1:30" ht="20.100000000000001" customHeight="1" x14ac:dyDescent="0.25">
      <c r="A26" s="65">
        <v>2</v>
      </c>
      <c r="B26" s="66" t="s">
        <v>25</v>
      </c>
      <c r="D26" s="67">
        <f>RAS!M26</f>
        <v>90</v>
      </c>
      <c r="E26" s="67">
        <f>RAS!Q26</f>
        <v>19</v>
      </c>
      <c r="F26" s="68">
        <f t="shared" si="0"/>
        <v>109</v>
      </c>
      <c r="H26" s="71">
        <f>(F26-1)*'AVG RAS salary'!$F$66</f>
        <v>8592367.3459051475</v>
      </c>
      <c r="I26" s="71">
        <f>(F26-1)*(VLOOKUP(B26,'FTE Allotment Factor'!$B$6:$D$63,3))</f>
        <v>7773282.0625807242</v>
      </c>
      <c r="J26" s="71">
        <f>(F26-1)*(VLOOKUP(B26,'FTE Allotment Factor'!$B$6:$H$63,7))</f>
        <v>7773282.0625807242</v>
      </c>
      <c r="K26" s="235">
        <f>VLOOKUP(A26,'CEO Salary'!$G$7:$H$13,2)</f>
        <v>218101.02419818181</v>
      </c>
      <c r="L26" s="235">
        <f t="shared" si="6"/>
        <v>197310.09056987849</v>
      </c>
      <c r="N26" s="85">
        <f>VLOOKUP(B26,BLS!$B$5:$I$64,8, FALSE)</f>
        <v>0.90467292070388794</v>
      </c>
      <c r="O26" s="90">
        <f t="shared" si="7"/>
        <v>7970592.1531506032</v>
      </c>
      <c r="Q26" s="87">
        <f>VLOOKUP(B26,'Program 10'!$A$7:$G$64,6)</f>
        <v>0.42877219486576479</v>
      </c>
      <c r="R26" s="8">
        <f>VLOOKUP(B26,'Program 10'!$A$7:$G$64,7)</f>
        <v>11722.000000000002</v>
      </c>
      <c r="S26" s="87">
        <f>VLOOKUP(B26,'Program 90'!$A$7:$G$64,6)</f>
        <v>0.43472734529974572</v>
      </c>
      <c r="T26" s="8">
        <f>VLOOKUP(B26,'Program 90'!$A$7:$G$64,7)</f>
        <v>11722</v>
      </c>
      <c r="U26" s="72">
        <f>(D26*VLOOKUP(B26,'FTE Allotment Factor'!$B$7:$H$64,7,FALSE)*Q26)+(D26*R26)</f>
        <v>3832452.6760695139</v>
      </c>
      <c r="V26" s="72">
        <f>((((E26-1)*VLOOKUP(B26,'FTE Allotment Factor'!$B$7:$H$64,7,FALSE))+(K26*N26))*S26)+(T26*E26)</f>
        <v>871703.80442960397</v>
      </c>
      <c r="W26" s="90">
        <f t="shared" si="3"/>
        <v>4704156.4804991176</v>
      </c>
      <c r="Y26" s="90">
        <f>F26*(VLOOKUP(A26, 'OE&amp;E by Cluster'!$B$6:$C$9,2,FALSE))</f>
        <v>2612680.8313526027</v>
      </c>
      <c r="AA26" s="235">
        <f>'AB1058'!E24</f>
        <v>398099.82999999996</v>
      </c>
      <c r="AB26" s="90">
        <f t="shared" si="4"/>
        <v>14889329.635002324</v>
      </c>
      <c r="AC26" s="91">
        <f t="shared" si="1"/>
        <v>4.9772790628420409E-3</v>
      </c>
      <c r="AD26" s="55">
        <f t="shared" si="5"/>
        <v>136599.35444956261</v>
      </c>
    </row>
    <row r="27" spans="1:30" ht="20.100000000000001" customHeight="1" x14ac:dyDescent="0.25">
      <c r="A27" s="65">
        <v>2</v>
      </c>
      <c r="B27" s="66" t="s">
        <v>26</v>
      </c>
      <c r="D27" s="67">
        <f>RAS!M27</f>
        <v>81</v>
      </c>
      <c r="E27" s="67">
        <f>RAS!Q27</f>
        <v>18</v>
      </c>
      <c r="F27" s="68">
        <f t="shared" si="0"/>
        <v>99</v>
      </c>
      <c r="H27" s="71">
        <f>(F27-1)*'AVG RAS salary'!$F$66</f>
        <v>7796777.7768398561</v>
      </c>
      <c r="I27" s="71">
        <f>(F27-1)*(VLOOKUP(B27,'FTE Allotment Factor'!$B$6:$D$63,3))</f>
        <v>9490728.9769358728</v>
      </c>
      <c r="J27" s="71">
        <f>(F27-1)*(VLOOKUP(B27,'FTE Allotment Factor'!$B$6:$H$63,7))</f>
        <v>9490728.9769358728</v>
      </c>
      <c r="K27" s="235">
        <f>VLOOKUP(A27,'CEO Salary'!$G$7:$H$13,2)</f>
        <v>218101.02419818181</v>
      </c>
      <c r="L27" s="235">
        <f t="shared" si="6"/>
        <v>265486.30338109384</v>
      </c>
      <c r="N27" s="85">
        <f>VLOOKUP(B27,BLS!$B$5:$I$64,8, FALSE)</f>
        <v>1.2172629833221436</v>
      </c>
      <c r="O27" s="90">
        <f t="shared" si="7"/>
        <v>9756215.2803169675</v>
      </c>
      <c r="Q27" s="87">
        <f>VLOOKUP(B27,'Program 10'!$A$7:$G$64,6)</f>
        <v>0.21332682220364882</v>
      </c>
      <c r="R27" s="8">
        <f>VLOOKUP(B27,'Program 10'!$A$7:$G$64,7)</f>
        <v>23258.250000000004</v>
      </c>
      <c r="S27" s="87">
        <f>VLOOKUP(B27,'Program 90'!$A$7:$G$64,6)</f>
        <v>0.22744690175341742</v>
      </c>
      <c r="T27" s="8">
        <f>VLOOKUP(B27,'Program 90'!$A$7:$G$64,7)</f>
        <v>23258.250000000004</v>
      </c>
      <c r="U27" s="72">
        <f>(D27*VLOOKUP(B27,'FTE Allotment Factor'!$B$7:$H$64,7,FALSE)*Q27)+(D27*R27)</f>
        <v>3557334.4877215428</v>
      </c>
      <c r="V27" s="72">
        <f>((((E27-1)*VLOOKUP(B27,'FTE Allotment Factor'!$B$7:$H$64,7,FALSE))+(K27*N27))*S27)+(T27*E27)</f>
        <v>853489.95879620756</v>
      </c>
      <c r="W27" s="90">
        <f t="shared" si="3"/>
        <v>4410824.4465177506</v>
      </c>
      <c r="Y27" s="90">
        <f>F27*(VLOOKUP(A27, 'OE&amp;E by Cluster'!$B$6:$C$9,2,FALSE))</f>
        <v>2372985.3422376853</v>
      </c>
      <c r="AA27" s="235">
        <f>'AB1058'!E25</f>
        <v>233571.8</v>
      </c>
      <c r="AB27" s="90">
        <f t="shared" si="4"/>
        <v>16306453.269072402</v>
      </c>
      <c r="AC27" s="91">
        <f t="shared" si="1"/>
        <v>5.4510021898211232E-3</v>
      </c>
      <c r="AD27" s="55">
        <f t="shared" si="5"/>
        <v>164711.64918254953</v>
      </c>
    </row>
    <row r="28" spans="1:30" ht="20.100000000000001" customHeight="1" x14ac:dyDescent="0.25">
      <c r="A28" s="65">
        <v>1</v>
      </c>
      <c r="B28" s="66" t="s">
        <v>12</v>
      </c>
      <c r="D28" s="67">
        <f>RAS!M28</f>
        <v>9</v>
      </c>
      <c r="E28" s="67">
        <f>RAS!Q28</f>
        <v>4</v>
      </c>
      <c r="F28" s="68">
        <f t="shared" si="0"/>
        <v>13</v>
      </c>
      <c r="H28" s="71">
        <f>(F28-1)*'AVG RAS salary'!$F$66</f>
        <v>954707.48287834972</v>
      </c>
      <c r="I28" s="71">
        <f>(F28-1)*(VLOOKUP(B28,'FTE Allotment Factor'!$B$6:$D$63,3))</f>
        <v>793622.11661377246</v>
      </c>
      <c r="J28" s="71">
        <f>(F28-1)*(VLOOKUP(B28,'FTE Allotment Factor'!$B$6:$H$63,7))</f>
        <v>793622.11661377246</v>
      </c>
      <c r="K28" s="235">
        <f>VLOOKUP(A28,'CEO Salary'!$G$7:$H$13,2)</f>
        <v>157919.41593777778</v>
      </c>
      <c r="L28" s="235">
        <f t="shared" si="6"/>
        <v>131274.07439302478</v>
      </c>
      <c r="N28" s="85">
        <f>VLOOKUP(B28,BLS!$B$5:$I$64,8, FALSE)</f>
        <v>0.83127254247665405</v>
      </c>
      <c r="O28" s="90">
        <f t="shared" si="7"/>
        <v>924896.19100679725</v>
      </c>
      <c r="Q28" s="87">
        <f>VLOOKUP(B28,'Program 10'!$A$7:$G$64,6)</f>
        <v>0.32103303414058076</v>
      </c>
      <c r="R28" s="8">
        <f>VLOOKUP(B28,'Program 10'!$A$7:$G$64,7)</f>
        <v>16559.997560975607</v>
      </c>
      <c r="S28" s="87">
        <f>VLOOKUP(B28,'Program 90'!$A$7:$G$64,6)</f>
        <v>0.29053668688825895</v>
      </c>
      <c r="T28" s="8">
        <f>VLOOKUP(B28,'Program 90'!$A$7:$G$64,7)</f>
        <v>14852.722543352604</v>
      </c>
      <c r="U28" s="72">
        <f>(D28*VLOOKUP(B28,'FTE Allotment Factor'!$B$7:$H$64,7,FALSE)*Q28)+(D28*R28)</f>
        <v>340124.16509197233</v>
      </c>
      <c r="V28" s="72">
        <f>((((E28-1)*VLOOKUP(B28,'FTE Allotment Factor'!$B$7:$H$64,7,FALSE))+(K28*N28))*S28)+(T28*E28)</f>
        <v>155194.90992243591</v>
      </c>
      <c r="W28" s="90">
        <f t="shared" si="3"/>
        <v>495319.07501440821</v>
      </c>
      <c r="Y28" s="90">
        <f>F28*(VLOOKUP(A28, 'OE&amp;E by Cluster'!$B$6:$C$9,2,FALSE))</f>
        <v>580305.40678418265</v>
      </c>
      <c r="AA28" s="235">
        <f>'AB1058'!E26</f>
        <v>22757.439999999999</v>
      </c>
      <c r="AB28" s="90">
        <f t="shared" si="4"/>
        <v>1977763.2328053883</v>
      </c>
      <c r="AC28" s="91">
        <f t="shared" si="1"/>
        <v>6.6113651663401508E-4</v>
      </c>
      <c r="AD28" s="55">
        <f t="shared" si="5"/>
        <v>152135.63329272217</v>
      </c>
    </row>
    <row r="29" spans="1:30" ht="20.100000000000001" customHeight="1" x14ac:dyDescent="0.25">
      <c r="A29" s="65">
        <v>2</v>
      </c>
      <c r="B29" s="66" t="s">
        <v>27</v>
      </c>
      <c r="D29" s="67">
        <f>RAS!M29</f>
        <v>52</v>
      </c>
      <c r="E29" s="67">
        <f>RAS!Q29</f>
        <v>11</v>
      </c>
      <c r="F29" s="68">
        <f t="shared" si="0"/>
        <v>63</v>
      </c>
      <c r="H29" s="71">
        <f>(F29-1)*'AVG RAS salary'!$F$66</f>
        <v>4932655.3282048069</v>
      </c>
      <c r="I29" s="71">
        <f>(F29-1)*(VLOOKUP(B29,'FTE Allotment Factor'!$B$6:$D$63,3))</f>
        <v>3861143.323244479</v>
      </c>
      <c r="J29" s="71">
        <f>(F29-1)*(VLOOKUP(B29,'FTE Allotment Factor'!$B$6:$H$63,7))</f>
        <v>3861143.323244479</v>
      </c>
      <c r="K29" s="235">
        <f>VLOOKUP(A29,'CEO Salary'!$G$7:$H$13,2)</f>
        <v>218101.02419818181</v>
      </c>
      <c r="L29" s="235">
        <f t="shared" si="6"/>
        <v>170723.32391853406</v>
      </c>
      <c r="N29" s="85">
        <f>VLOOKUP(B29,BLS!$B$5:$I$64,8, FALSE)</f>
        <v>0.7827717661857605</v>
      </c>
      <c r="O29" s="90">
        <f t="shared" si="7"/>
        <v>4031866.647163013</v>
      </c>
      <c r="Q29" s="87">
        <f>VLOOKUP(B29,'Program 10'!$A$7:$G$64,6)</f>
        <v>0.46992480053376223</v>
      </c>
      <c r="R29" s="8">
        <f>VLOOKUP(B29,'Program 10'!$A$7:$G$64,7)</f>
        <v>18831.085731414871</v>
      </c>
      <c r="S29" s="87">
        <f>VLOOKUP(B29,'Program 90'!$A$7:$G$64,6)</f>
        <v>0.49454403987101897</v>
      </c>
      <c r="T29" s="8">
        <f>VLOOKUP(B29,'Program 90'!$A$7:$G$64,7)</f>
        <v>13038.194444444445</v>
      </c>
      <c r="U29" s="72">
        <f>(D29*VLOOKUP(B29,'FTE Allotment Factor'!$B$7:$H$64,7,FALSE)*Q29)+(D29*R29)</f>
        <v>2501010.7211369979</v>
      </c>
      <c r="V29" s="72">
        <f>((((E29-1)*VLOOKUP(B29,'FTE Allotment Factor'!$B$7:$H$64,7,FALSE))+(K29*N29))*S29)+(T29*E29)</f>
        <v>535835.08597369457</v>
      </c>
      <c r="W29" s="90">
        <f t="shared" si="3"/>
        <v>3036845.8071106924</v>
      </c>
      <c r="Y29" s="90">
        <f>F29*(VLOOKUP(A29, 'OE&amp;E by Cluster'!$B$6:$C$9,2,FALSE))</f>
        <v>1510081.5814239813</v>
      </c>
      <c r="AA29" s="235">
        <f>'AB1058'!E27</f>
        <v>261182.52000000002</v>
      </c>
      <c r="AB29" s="90">
        <f t="shared" si="4"/>
        <v>8317611.5156976879</v>
      </c>
      <c r="AC29" s="91">
        <f t="shared" si="1"/>
        <v>2.7804524894534978E-3</v>
      </c>
      <c r="AD29" s="55">
        <f t="shared" si="5"/>
        <v>132025.579614249</v>
      </c>
    </row>
    <row r="30" spans="1:30" ht="20.100000000000001" customHeight="1" x14ac:dyDescent="0.25">
      <c r="A30" s="65">
        <v>2</v>
      </c>
      <c r="B30" s="66" t="s">
        <v>28</v>
      </c>
      <c r="D30" s="67">
        <f>RAS!M30</f>
        <v>123</v>
      </c>
      <c r="E30" s="67">
        <f>RAS!Q30</f>
        <v>27</v>
      </c>
      <c r="F30" s="68">
        <f t="shared" si="0"/>
        <v>150</v>
      </c>
      <c r="H30" s="71">
        <f>(F30-1)*'AVG RAS salary'!$F$66</f>
        <v>11854284.579072842</v>
      </c>
      <c r="I30" s="71">
        <f>(F30-1)*(VLOOKUP(B30,'FTE Allotment Factor'!$B$6:$D$63,3))</f>
        <v>9342039.5303977057</v>
      </c>
      <c r="J30" s="71">
        <f>(F30-1)*(VLOOKUP(B30,'FTE Allotment Factor'!$B$6:$H$63,7))</f>
        <v>9342039.5303977057</v>
      </c>
      <c r="K30" s="235">
        <f>VLOOKUP(A30,'CEO Salary'!$G$7:$H$13,2)</f>
        <v>218101.02419818181</v>
      </c>
      <c r="L30" s="235">
        <f t="shared" si="6"/>
        <v>171879.49016143836</v>
      </c>
      <c r="N30" s="85">
        <f>VLOOKUP(B30,BLS!$B$5:$I$64,8, FALSE)</f>
        <v>0.78807282447814941</v>
      </c>
      <c r="O30" s="90">
        <f t="shared" si="7"/>
        <v>9513919.0205591433</v>
      </c>
      <c r="Q30" s="87">
        <f>VLOOKUP(B30,'Program 10'!$A$7:$G$64,6)</f>
        <v>0.49017276546967015</v>
      </c>
      <c r="R30" s="8">
        <f>VLOOKUP(B30,'Program 10'!$A$7:$G$64,7)</f>
        <v>18009.392131884018</v>
      </c>
      <c r="S30" s="87">
        <f>VLOOKUP(B30,'Program 90'!$A$7:$G$64,6)</f>
        <v>0.51273764709311365</v>
      </c>
      <c r="T30" s="8">
        <f>VLOOKUP(B30,'Program 90'!$A$7:$G$64,7)</f>
        <v>17887.548492592592</v>
      </c>
      <c r="U30" s="72">
        <f>(D30*VLOOKUP(B30,'FTE Allotment Factor'!$B$7:$H$64,7,FALSE)*Q30)+(D30*R30)</f>
        <v>5995311.2205725312</v>
      </c>
      <c r="V30" s="72">
        <f>((((E30-1)*VLOOKUP(B30,'FTE Allotment Factor'!$B$7:$H$64,7,FALSE))+(K30*N30))*S30)+(T30*E30)</f>
        <v>1406934.5024846538</v>
      </c>
      <c r="W30" s="90">
        <f t="shared" si="3"/>
        <v>7402245.7230571853</v>
      </c>
      <c r="Y30" s="90">
        <f>F30*(VLOOKUP(A30, 'OE&amp;E by Cluster'!$B$6:$C$9,2,FALSE))</f>
        <v>3595432.3367237654</v>
      </c>
      <c r="AA30" s="235">
        <f>'AB1058'!E28</f>
        <v>747366.45</v>
      </c>
      <c r="AB30" s="90">
        <f t="shared" si="4"/>
        <v>19764230.630340096</v>
      </c>
      <c r="AC30" s="91">
        <f t="shared" si="1"/>
        <v>6.6068851802647153E-3</v>
      </c>
      <c r="AD30" s="55">
        <f t="shared" si="5"/>
        <v>131761.53753560063</v>
      </c>
    </row>
    <row r="31" spans="1:30" ht="20.100000000000001" customHeight="1" x14ac:dyDescent="0.25">
      <c r="A31" s="65">
        <v>1</v>
      </c>
      <c r="B31" s="66" t="s">
        <v>13</v>
      </c>
      <c r="D31" s="67">
        <f>RAS!M31</f>
        <v>8</v>
      </c>
      <c r="E31" s="67">
        <f>RAS!Q31</f>
        <v>3</v>
      </c>
      <c r="F31" s="68">
        <f t="shared" si="0"/>
        <v>11</v>
      </c>
      <c r="H31" s="71">
        <f>(F31-1)*'AVG RAS salary'!$F$66</f>
        <v>795589.56906529143</v>
      </c>
      <c r="I31" s="71">
        <f>(F31-1)*(VLOOKUP(B31,'FTE Allotment Factor'!$B$6:$D$63,3))</f>
        <v>442820.20219273469</v>
      </c>
      <c r="J31" s="71">
        <f>(F31-1)*(VLOOKUP(B31,'FTE Allotment Factor'!$B$6:$H$63,7))</f>
        <v>622354.24545428646</v>
      </c>
      <c r="K31" s="235">
        <f>VLOOKUP(A31,'CEO Salary'!$G$7:$H$13,2)</f>
        <v>157919.41593777778</v>
      </c>
      <c r="L31" s="235">
        <f t="shared" si="6"/>
        <v>87896.963980917164</v>
      </c>
      <c r="N31" s="85">
        <f>VLOOKUP(B31,BLS!$B$5:$I$64,8, FALSE)</f>
        <v>0.55659377574920654</v>
      </c>
      <c r="O31" s="90">
        <f t="shared" si="7"/>
        <v>710251.20943520358</v>
      </c>
      <c r="Q31" s="87">
        <f>VLOOKUP(B31,'Program 10'!$A$7:$G$64,6)</f>
        <v>0.40208853175906512</v>
      </c>
      <c r="R31" s="8">
        <f>VLOOKUP(B31,'Program 10'!$A$7:$G$64,7)</f>
        <v>18466.910833333332</v>
      </c>
      <c r="S31" s="87">
        <f>VLOOKUP(B31,'Program 90'!$A$7:$G$64,6)</f>
        <v>0.42150000000000004</v>
      </c>
      <c r="T31" s="8">
        <f>VLOOKUP(B31,'Program 90'!$A$7:$G$64,7)</f>
        <v>21445.439999999999</v>
      </c>
      <c r="U31" s="72">
        <f>(D31*VLOOKUP(B31,'FTE Allotment Factor'!$B$7:$H$64,7,FALSE)*Q31)+(D31*R31)</f>
        <v>347928.49049765454</v>
      </c>
      <c r="V31" s="72">
        <f>((((E31-1)*VLOOKUP(B31,'FTE Allotment Factor'!$B$7:$H$64,7,FALSE))+(K31*N31))*S31)+(T31*E31)</f>
        <v>153849.35320975294</v>
      </c>
      <c r="W31" s="90">
        <f t="shared" si="3"/>
        <v>501777.84370740748</v>
      </c>
      <c r="Y31" s="90">
        <f>F31*(VLOOKUP(A31, 'OE&amp;E by Cluster'!$B$6:$C$9,2,FALSE))</f>
        <v>491027.65189430839</v>
      </c>
      <c r="AA31" s="235">
        <f>'AB1058'!E29</f>
        <v>71817.999999999985</v>
      </c>
      <c r="AB31" s="90">
        <f t="shared" si="4"/>
        <v>1631238.7050369193</v>
      </c>
      <c r="AC31" s="91">
        <f t="shared" si="1"/>
        <v>5.4529857637049717E-4</v>
      </c>
      <c r="AD31" s="55">
        <f t="shared" si="5"/>
        <v>148294.42773062902</v>
      </c>
    </row>
    <row r="32" spans="1:30" ht="20.100000000000001" customHeight="1" x14ac:dyDescent="0.25">
      <c r="A32" s="65">
        <v>1</v>
      </c>
      <c r="B32" s="66" t="s">
        <v>14</v>
      </c>
      <c r="D32" s="67">
        <f>RAS!M32</f>
        <v>8</v>
      </c>
      <c r="E32" s="67">
        <f>RAS!Q32</f>
        <v>3</v>
      </c>
      <c r="F32" s="68">
        <f t="shared" si="0"/>
        <v>11</v>
      </c>
      <c r="H32" s="71">
        <f>(F32-1)*'AVG RAS salary'!$F$66</f>
        <v>795589.56906529143</v>
      </c>
      <c r="I32" s="71">
        <f>(F32-1)*(VLOOKUP(B32,'FTE Allotment Factor'!$B$6:$D$63,3))</f>
        <v>711162.60751197068</v>
      </c>
      <c r="J32" s="71">
        <f>(F32-1)*(VLOOKUP(B32,'FTE Allotment Factor'!$B$6:$H$63,7))</f>
        <v>711162.60751197068</v>
      </c>
      <c r="K32" s="235">
        <f>VLOOKUP(A32,'CEO Salary'!$G$7:$H$13,2)</f>
        <v>157919.41593777778</v>
      </c>
      <c r="L32" s="235">
        <f t="shared" si="6"/>
        <v>141161.20670991464</v>
      </c>
      <c r="N32" s="85">
        <f>VLOOKUP(B32,BLS!$B$5:$I$64,8, FALSE)</f>
        <v>0.89388126134872437</v>
      </c>
      <c r="O32" s="90">
        <f t="shared" si="7"/>
        <v>852323.81422188529</v>
      </c>
      <c r="Q32" s="87">
        <f>VLOOKUP(B32,'Program 10'!$A$7:$G$64,6)</f>
        <v>0.32038275875729527</v>
      </c>
      <c r="R32" s="8">
        <f>VLOOKUP(B32,'Program 10'!$A$7:$G$64,7)</f>
        <v>21168.99324324324</v>
      </c>
      <c r="S32" s="87">
        <f>VLOOKUP(B32,'Program 90'!$A$7:$G$64,6)</f>
        <v>0.3253700439865857</v>
      </c>
      <c r="T32" s="8">
        <f>VLOOKUP(B32,'Program 90'!$A$7:$G$64,7)</f>
        <v>32267.825000000001</v>
      </c>
      <c r="U32" s="72">
        <f>(D32*VLOOKUP(B32,'FTE Allotment Factor'!$B$7:$H$64,7,FALSE)*Q32)+(D32*R32)</f>
        <v>351627.33644171932</v>
      </c>
      <c r="V32" s="72">
        <f>((((E32-1)*VLOOKUP(B32,'FTE Allotment Factor'!$B$7:$H$64,7,FALSE))+(K32*N32))*S32)+(T32*E32)</f>
        <v>189011.30481396144</v>
      </c>
      <c r="W32" s="90">
        <f t="shared" si="3"/>
        <v>540638.6412556807</v>
      </c>
      <c r="Y32" s="90">
        <f>F32*(VLOOKUP(A32, 'OE&amp;E by Cluster'!$B$6:$C$9,2,FALSE))</f>
        <v>491027.65189430839</v>
      </c>
      <c r="AA32" s="235">
        <f>'AB1058'!E30</f>
        <v>51637.01999999999</v>
      </c>
      <c r="AB32" s="90">
        <f t="shared" si="4"/>
        <v>1832353.0873718744</v>
      </c>
      <c r="AC32" s="91">
        <f t="shared" si="1"/>
        <v>6.1252809099411002E-4</v>
      </c>
      <c r="AD32" s="55">
        <f t="shared" si="5"/>
        <v>166577.55339744312</v>
      </c>
    </row>
    <row r="33" spans="1:30" ht="20.100000000000001" customHeight="1" x14ac:dyDescent="0.25">
      <c r="A33" s="65">
        <v>3</v>
      </c>
      <c r="B33" s="66" t="s">
        <v>44</v>
      </c>
      <c r="D33" s="67">
        <f>RAS!M33</f>
        <v>168</v>
      </c>
      <c r="E33" s="67">
        <f>RAS!Q33</f>
        <v>29</v>
      </c>
      <c r="F33" s="68">
        <f t="shared" si="0"/>
        <v>197</v>
      </c>
      <c r="H33" s="71">
        <f>(F33-1)*'AVG RAS salary'!$F$66</f>
        <v>15593555.553679712</v>
      </c>
      <c r="I33" s="71">
        <f>(F33-1)*(VLOOKUP(B33,'FTE Allotment Factor'!$B$6:$D$63,3))</f>
        <v>17742858.366500784</v>
      </c>
      <c r="J33" s="71">
        <f>(F33-1)*(VLOOKUP(B33,'FTE Allotment Factor'!$B$6:$H$63,7))</f>
        <v>17742858.366500784</v>
      </c>
      <c r="K33" s="235">
        <f>VLOOKUP(A33,'CEO Salary'!$G$7:$H$13,2)</f>
        <v>247837.75653896623</v>
      </c>
      <c r="L33" s="235">
        <f t="shared" si="6"/>
        <v>281997.91875589977</v>
      </c>
      <c r="N33" s="85">
        <f>VLOOKUP(B33,BLS!$B$5:$I$64,8, FALSE)</f>
        <v>1.1378327608108521</v>
      </c>
      <c r="O33" s="90">
        <f t="shared" si="7"/>
        <v>18024856.285256684</v>
      </c>
      <c r="Q33" s="87">
        <f>VLOOKUP(B33,'Program 10'!$A$7:$G$64,6)</f>
        <v>0.16782655085349518</v>
      </c>
      <c r="R33" s="8">
        <f>VLOOKUP(B33,'Program 10'!$A$7:$G$64,7)</f>
        <v>28184.655020724975</v>
      </c>
      <c r="S33" s="87">
        <f>VLOOKUP(B33,'Program 90'!$A$7:$G$64,6)</f>
        <v>0.16820407232453874</v>
      </c>
      <c r="T33" s="8">
        <f>VLOOKUP(B33,'Program 90'!$A$7:$G$64,7)</f>
        <v>29235.391298552022</v>
      </c>
      <c r="U33" s="72">
        <f>(D33*VLOOKUP(B33,'FTE Allotment Factor'!$B$7:$H$64,7,FALSE)*Q33)+(D33*R33)</f>
        <v>7287355.8051377153</v>
      </c>
      <c r="V33" s="72">
        <f>((((E33-1)*VLOOKUP(B33,'FTE Allotment Factor'!$B$7:$H$64,7,FALSE))+(K33*N33))*S33)+(T33*E33)</f>
        <v>1321605.4076830733</v>
      </c>
      <c r="W33" s="90">
        <f t="shared" si="3"/>
        <v>8608961.2128207888</v>
      </c>
      <c r="Y33" s="90">
        <f>F33*(VLOOKUP(A33, 'OE&amp;E by Cluster'!$B$6:$C$9,2,FALSE))</f>
        <v>4722001.1355638783</v>
      </c>
      <c r="AA33" s="235">
        <f>'AB1058'!E31</f>
        <v>644677.21000000008</v>
      </c>
      <c r="AB33" s="90">
        <f t="shared" si="4"/>
        <v>30711141.423641354</v>
      </c>
      <c r="AC33" s="91">
        <f t="shared" si="1"/>
        <v>1.0266272891462326E-2</v>
      </c>
      <c r="AD33" s="55">
        <f t="shared" si="5"/>
        <v>155894.11890173276</v>
      </c>
    </row>
    <row r="34" spans="1:30" ht="20.100000000000001" customHeight="1" x14ac:dyDescent="0.25">
      <c r="A34" s="65">
        <v>2</v>
      </c>
      <c r="B34" s="66" t="s">
        <v>29</v>
      </c>
      <c r="D34" s="67">
        <f>RAS!M34</f>
        <v>54</v>
      </c>
      <c r="E34" s="67">
        <f>RAS!Q34</f>
        <v>12</v>
      </c>
      <c r="F34" s="68">
        <f t="shared" si="0"/>
        <v>66</v>
      </c>
      <c r="H34" s="71">
        <f>(F34-1)*'AVG RAS salary'!$F$66</f>
        <v>5171332.1989243943</v>
      </c>
      <c r="I34" s="71">
        <f>(F34-1)*(VLOOKUP(B34,'FTE Allotment Factor'!$B$6:$D$63,3))</f>
        <v>6569801.2254801206</v>
      </c>
      <c r="J34" s="71">
        <f>(F34-1)*(VLOOKUP(B34,'FTE Allotment Factor'!$B$6:$H$63,7))</f>
        <v>6569801.2254801206</v>
      </c>
      <c r="K34" s="235">
        <f>VLOOKUP(A34,'CEO Salary'!$G$7:$H$13,2)</f>
        <v>218101.02419818181</v>
      </c>
      <c r="L34" s="235">
        <f t="shared" si="6"/>
        <v>277081.47938237555</v>
      </c>
      <c r="N34" s="85">
        <f>VLOOKUP(B34,BLS!$B$5:$I$64,8, FALSE)</f>
        <v>1.2704272270202637</v>
      </c>
      <c r="O34" s="90">
        <f t="shared" si="7"/>
        <v>6846882.7048624959</v>
      </c>
      <c r="Q34" s="87">
        <f>VLOOKUP(B34,'Program 10'!$A$7:$G$64,6)</f>
        <v>0.27658237858685369</v>
      </c>
      <c r="R34" s="8">
        <f>VLOOKUP(B34,'Program 10'!$A$7:$G$64,7)</f>
        <v>24197.095860566449</v>
      </c>
      <c r="S34" s="87">
        <f>VLOOKUP(B34,'Program 90'!$A$7:$G$64,6)</f>
        <v>0.27301424064529195</v>
      </c>
      <c r="T34" s="8">
        <f>VLOOKUP(B34,'Program 90'!$A$7:$G$64,7)</f>
        <v>24242.304347826088</v>
      </c>
      <c r="U34" s="72">
        <f>(D34*VLOOKUP(B34,'FTE Allotment Factor'!$B$7:$H$64,7,FALSE)*Q34)+(D34*R34)</f>
        <v>2816226.6762929019</v>
      </c>
      <c r="V34" s="72">
        <f>((((E34-1)*VLOOKUP(B34,'FTE Allotment Factor'!$B$7:$H$64,7,FALSE))+(K34*N34))*S34)+(T34*E34)</f>
        <v>670095.49140920653</v>
      </c>
      <c r="W34" s="90">
        <f t="shared" si="3"/>
        <v>3486322.1677021086</v>
      </c>
      <c r="Y34" s="90">
        <f>F34*(VLOOKUP(A34, 'OE&amp;E by Cluster'!$B$6:$C$9,2,FALSE))</f>
        <v>1581990.2281584567</v>
      </c>
      <c r="AA34" s="235">
        <f>'AB1058'!E32</f>
        <v>164049.51</v>
      </c>
      <c r="AB34" s="90">
        <f t="shared" si="4"/>
        <v>11751145.590723062</v>
      </c>
      <c r="AC34" s="91">
        <f t="shared" si="1"/>
        <v>3.9282313137602399E-3</v>
      </c>
      <c r="AD34" s="55">
        <f t="shared" si="5"/>
        <v>178047.66046550093</v>
      </c>
    </row>
    <row r="35" spans="1:30" ht="20.100000000000001" customHeight="1" x14ac:dyDescent="0.25">
      <c r="A35" s="65">
        <v>2</v>
      </c>
      <c r="B35" s="66" t="s">
        <v>30</v>
      </c>
      <c r="D35" s="67">
        <f>RAS!M35</f>
        <v>38</v>
      </c>
      <c r="E35" s="67">
        <f>RAS!Q35</f>
        <v>9</v>
      </c>
      <c r="F35" s="68">
        <f t="shared" si="0"/>
        <v>47</v>
      </c>
      <c r="H35" s="71">
        <f>(F35-1)*'AVG RAS salary'!$F$66</f>
        <v>3659712.0177003406</v>
      </c>
      <c r="I35" s="71">
        <f>(F35-1)*(VLOOKUP(B35,'FTE Allotment Factor'!$B$6:$D$63,3))</f>
        <v>3878807.2138970271</v>
      </c>
      <c r="J35" s="71">
        <f>(F35-1)*(VLOOKUP(B35,'FTE Allotment Factor'!$B$6:$H$63,7))</f>
        <v>3878807.2138970271</v>
      </c>
      <c r="K35" s="235">
        <f>VLOOKUP(A35,'CEO Salary'!$G$7:$H$13,2)</f>
        <v>218101.02419818181</v>
      </c>
      <c r="L35" s="235">
        <f t="shared" si="6"/>
        <v>231158.03154091409</v>
      </c>
      <c r="N35" s="85">
        <f>VLOOKUP(B35,BLS!$B$5:$I$64,8, FALSE)</f>
        <v>1.0598667860031128</v>
      </c>
      <c r="O35" s="90">
        <f t="shared" si="7"/>
        <v>4109965.245437941</v>
      </c>
      <c r="Q35" s="87">
        <f>VLOOKUP(B35,'Program 10'!$A$7:$G$64,6)</f>
        <v>0.50428650405121445</v>
      </c>
      <c r="R35" s="8">
        <f>VLOOKUP(B35,'Program 10'!$A$7:$G$64,7)</f>
        <v>22009.698918918926</v>
      </c>
      <c r="S35" s="87">
        <f>VLOOKUP(B35,'Program 90'!$A$7:$G$64,6)</f>
        <v>0.51470000000000005</v>
      </c>
      <c r="T35" s="8">
        <f>VLOOKUP(B35,'Program 90'!$A$7:$G$64,7)</f>
        <v>29145.759999999998</v>
      </c>
      <c r="U35" s="72">
        <f>(D35*VLOOKUP(B35,'FTE Allotment Factor'!$B$7:$H$64,7,FALSE)*Q35)+(D35*R35)</f>
        <v>2452219.5356976362</v>
      </c>
      <c r="V35" s="72">
        <f>((((E35-1)*VLOOKUP(B35,'FTE Allotment Factor'!$B$7:$H$64,7,FALSE))+(K35*N35))*S35)+(T35*E35)</f>
        <v>728492.71761546494</v>
      </c>
      <c r="W35" s="90">
        <f t="shared" si="3"/>
        <v>3180712.2533131009</v>
      </c>
      <c r="Y35" s="90">
        <f>F35*(VLOOKUP(A35, 'OE&amp;E by Cluster'!$B$6:$C$9,2,FALSE))</f>
        <v>1126568.7988401132</v>
      </c>
      <c r="AA35" s="235">
        <f>'AB1058'!E33</f>
        <v>326078.13</v>
      </c>
      <c r="AB35" s="90">
        <f t="shared" si="4"/>
        <v>8091168.1675911555</v>
      </c>
      <c r="AC35" s="91">
        <f t="shared" si="1"/>
        <v>2.7047558823476321E-3</v>
      </c>
      <c r="AD35" s="55">
        <f t="shared" si="5"/>
        <v>172152.51420406715</v>
      </c>
    </row>
    <row r="36" spans="1:30" ht="20.100000000000001" customHeight="1" x14ac:dyDescent="0.25">
      <c r="A36" s="65">
        <v>4</v>
      </c>
      <c r="B36" s="66" t="s">
        <v>55</v>
      </c>
      <c r="D36" s="67">
        <f>RAS!M36</f>
        <v>1111</v>
      </c>
      <c r="E36" s="67">
        <f>RAS!Q36</f>
        <v>203</v>
      </c>
      <c r="F36" s="68">
        <f t="shared" si="0"/>
        <v>1314</v>
      </c>
      <c r="H36" s="71">
        <f>(F36-1)*'AVG RAS salary'!$F$66</f>
        <v>104460910.41827276</v>
      </c>
      <c r="I36" s="71">
        <f>(F36-1)*(VLOOKUP(B36,'FTE Allotment Factor'!$B$6:$D$63,3))</f>
        <v>128003644.54893956</v>
      </c>
      <c r="J36" s="71">
        <f>(F36-1)*(VLOOKUP(B36,'FTE Allotment Factor'!$B$6:$H$63,7))</f>
        <v>128003644.54893956</v>
      </c>
      <c r="K36" s="235">
        <f>VLOOKUP(A36,'CEO Salary'!$G$7:$H$13,2)</f>
        <v>321923.64124999999</v>
      </c>
      <c r="L36" s="235">
        <f t="shared" si="6"/>
        <v>394476.73949486419</v>
      </c>
      <c r="N36" s="85">
        <f>VLOOKUP(B36,BLS!$B$5:$I$64,8, FALSE)</f>
        <v>1.2253736257553101</v>
      </c>
      <c r="O36" s="90">
        <f t="shared" si="7"/>
        <v>128398121.28843442</v>
      </c>
      <c r="Q36" s="87">
        <f>VLOOKUP(B36,'Program 10'!$A$7:$G$64,6)</f>
        <v>0.38941650243856973</v>
      </c>
      <c r="R36" s="8">
        <f>VLOOKUP(B36,'Program 10'!$A$7:$G$64,7)</f>
        <v>15936.472463371554</v>
      </c>
      <c r="S36" s="87">
        <f>VLOOKUP(B36,'Program 90'!$A$7:$G$64,6)</f>
        <v>0.39417529582249183</v>
      </c>
      <c r="T36" s="8">
        <f>VLOOKUP(B36,'Program 90'!$A$7:$G$64,7)</f>
        <v>16642.09046967201</v>
      </c>
      <c r="U36" s="72">
        <f>(D36*VLOOKUP(B36,'FTE Allotment Factor'!$B$7:$H$64,7,FALSE)*Q36)+(D36*R36)</f>
        <v>59883424.534191743</v>
      </c>
      <c r="V36" s="72">
        <f>((((E36-1)*VLOOKUP(B36,'FTE Allotment Factor'!$B$7:$H$64,7,FALSE))+(K36*N36))*S36)+(T36*E36)</f>
        <v>11296279.574895874</v>
      </c>
      <c r="W36" s="90">
        <f t="shared" si="3"/>
        <v>71179704.109087616</v>
      </c>
      <c r="Y36" s="90">
        <f>F36*(VLOOKUP(A36, 'OE&amp;E by Cluster'!$B$6:$C$9,2,FALSE))</f>
        <v>31495987.269700184</v>
      </c>
      <c r="AA36" s="235">
        <f>'AB1058'!E34</f>
        <v>3248394.9899999998</v>
      </c>
      <c r="AB36" s="90">
        <f t="shared" si="4"/>
        <v>227825417.67722219</v>
      </c>
      <c r="AC36" s="91">
        <f t="shared" si="1"/>
        <v>7.6158612186431315E-2</v>
      </c>
      <c r="AD36" s="55">
        <f t="shared" si="5"/>
        <v>173383.11847581598</v>
      </c>
    </row>
    <row r="37" spans="1:30" ht="20.100000000000001" customHeight="1" x14ac:dyDescent="0.25">
      <c r="A37" s="65">
        <v>2</v>
      </c>
      <c r="B37" s="66" t="s">
        <v>31</v>
      </c>
      <c r="D37" s="67">
        <f>RAS!M37</f>
        <v>141</v>
      </c>
      <c r="E37" s="67">
        <f>RAS!Q37</f>
        <v>30</v>
      </c>
      <c r="F37" s="68">
        <f t="shared" si="0"/>
        <v>171</v>
      </c>
      <c r="H37" s="71">
        <f>(F37-1)*'AVG RAS salary'!$F$66</f>
        <v>13525022.674109954</v>
      </c>
      <c r="I37" s="71">
        <f>(F37-1)*(VLOOKUP(B37,'FTE Allotment Factor'!$B$6:$D$63,3))</f>
        <v>15643366.890523544</v>
      </c>
      <c r="J37" s="71">
        <f>(F37-1)*(VLOOKUP(B37,'FTE Allotment Factor'!$B$6:$H$63,7))</f>
        <v>15643366.890523544</v>
      </c>
      <c r="K37" s="235">
        <f>VLOOKUP(A37,'CEO Salary'!$G$7:$H$13,2)</f>
        <v>218101.02419818181</v>
      </c>
      <c r="L37" s="235">
        <f t="shared" si="6"/>
        <v>252260.89618778662</v>
      </c>
      <c r="N37" s="85">
        <f>VLOOKUP(B37,BLS!$B$5:$I$64,8, FALSE)</f>
        <v>1.1566240787506104</v>
      </c>
      <c r="O37" s="90">
        <f t="shared" si="7"/>
        <v>15895627.78671133</v>
      </c>
      <c r="Q37" s="87">
        <f>VLOOKUP(B37,'Program 10'!$A$7:$G$64,6)</f>
        <v>0.36958308624462533</v>
      </c>
      <c r="R37" s="8">
        <f>VLOOKUP(B37,'Program 10'!$A$7:$G$64,7)</f>
        <v>29886.955094991365</v>
      </c>
      <c r="S37" s="87">
        <f>VLOOKUP(B37,'Program 90'!$A$7:$G$64,6)</f>
        <v>0.37499999999999994</v>
      </c>
      <c r="T37" s="8">
        <f>VLOOKUP(B37,'Program 90'!$A$7:$G$64,7)</f>
        <v>30418.406504065042</v>
      </c>
      <c r="U37" s="72">
        <f>(D37*VLOOKUP(B37,'FTE Allotment Factor'!$B$7:$H$64,7,FALSE)*Q37)+(D37*R37)</f>
        <v>9009324.5381972641</v>
      </c>
      <c r="V37" s="72">
        <f>((((E37-1)*VLOOKUP(B37,'FTE Allotment Factor'!$B$7:$H$64,7,FALSE))+(K37*N37))*S37)+(T37*E37)</f>
        <v>2007865.4131596861</v>
      </c>
      <c r="W37" s="90">
        <f t="shared" si="3"/>
        <v>11017189.951356951</v>
      </c>
      <c r="Y37" s="90">
        <f>F37*(VLOOKUP(A37, 'OE&amp;E by Cluster'!$B$6:$C$9,2,FALSE))</f>
        <v>4098792.8638650924</v>
      </c>
      <c r="AA37" s="235">
        <f>'AB1058'!E35</f>
        <v>352703.11</v>
      </c>
      <c r="AB37" s="90">
        <f t="shared" si="4"/>
        <v>30658907.491933376</v>
      </c>
      <c r="AC37" s="91">
        <f t="shared" si="1"/>
        <v>1.0248811873335031E-2</v>
      </c>
      <c r="AD37" s="55">
        <f t="shared" si="5"/>
        <v>179291.85667797294</v>
      </c>
    </row>
    <row r="38" spans="1:30" ht="20.100000000000001" customHeight="1" x14ac:dyDescent="0.25">
      <c r="A38" s="65">
        <v>1</v>
      </c>
      <c r="B38" s="66" t="s">
        <v>15</v>
      </c>
      <c r="D38" s="67">
        <f>RAS!M38</f>
        <v>9</v>
      </c>
      <c r="E38" s="67">
        <f>RAS!Q38</f>
        <v>4</v>
      </c>
      <c r="F38" s="68">
        <f t="shared" si="0"/>
        <v>13</v>
      </c>
      <c r="H38" s="71">
        <f>(F38-1)*'AVG RAS salary'!$F$66</f>
        <v>954707.48287834972</v>
      </c>
      <c r="I38" s="71">
        <f>(F38-1)*(VLOOKUP(B38,'FTE Allotment Factor'!$B$6:$D$63,3))</f>
        <v>688049.28537123441</v>
      </c>
      <c r="J38" s="71">
        <f>(F38-1)*(VLOOKUP(B38,'FTE Allotment Factor'!$B$6:$H$63,7))</f>
        <v>746825.09454514366</v>
      </c>
      <c r="K38" s="235">
        <f>VLOOKUP(A38,'CEO Salary'!$G$7:$H$13,2)</f>
        <v>157919.41593777778</v>
      </c>
      <c r="L38" s="235">
        <f t="shared" si="6"/>
        <v>113811.13401839323</v>
      </c>
      <c r="N38" s="85">
        <f>VLOOKUP(B38,BLS!$B$5:$I$64,8, FALSE)</f>
        <v>0.72069120407104492</v>
      </c>
      <c r="O38" s="90">
        <f t="shared" si="7"/>
        <v>860636.22856353689</v>
      </c>
      <c r="Q38" s="87">
        <f>VLOOKUP(B38,'Program 10'!$A$7:$G$64,6)</f>
        <v>0.41909999999999997</v>
      </c>
      <c r="R38" s="8">
        <f>VLOOKUP(B38,'Program 10'!$A$7:$G$64,7)</f>
        <v>22791.274193548379</v>
      </c>
      <c r="S38" s="87">
        <f>VLOOKUP(B38,'Program 90'!$A$7:$G$64,6)</f>
        <v>0.41910000000000008</v>
      </c>
      <c r="T38" s="8">
        <f>VLOOKUP(B38,'Program 90'!$A$7:$G$64,7)</f>
        <v>32354.500000000004</v>
      </c>
      <c r="U38" s="72">
        <f>(D38*VLOOKUP(B38,'FTE Allotment Factor'!$B$7:$H$64,7,FALSE)*Q38)+(D38*R38)</f>
        <v>439867.26558483765</v>
      </c>
      <c r="V38" s="72">
        <f>((((E38-1)*VLOOKUP(B38,'FTE Allotment Factor'!$B$7:$H$64,7,FALSE))+(K38*N38))*S38)+(T38*E38)</f>
        <v>255364.84554807609</v>
      </c>
      <c r="W38" s="90">
        <f t="shared" si="3"/>
        <v>695232.11113291373</v>
      </c>
      <c r="Y38" s="90">
        <f>F38*(VLOOKUP(A38, 'OE&amp;E by Cluster'!$B$6:$C$9,2,FALSE))</f>
        <v>580305.40678418265</v>
      </c>
      <c r="AA38" s="235">
        <f>'AB1058'!E36</f>
        <v>131647.58000000002</v>
      </c>
      <c r="AB38" s="90">
        <f t="shared" si="4"/>
        <v>2004526.1664806334</v>
      </c>
      <c r="AC38" s="91">
        <f t="shared" si="1"/>
        <v>6.700829630293505E-4</v>
      </c>
      <c r="AD38" s="55">
        <f t="shared" si="5"/>
        <v>154194.32049851026</v>
      </c>
    </row>
    <row r="39" spans="1:30" ht="20.100000000000001" customHeight="1" x14ac:dyDescent="0.25">
      <c r="A39" s="65">
        <v>4</v>
      </c>
      <c r="B39" s="66" t="s">
        <v>56</v>
      </c>
      <c r="D39" s="67">
        <f>RAS!M39</f>
        <v>908</v>
      </c>
      <c r="E39" s="67">
        <f>RAS!Q39</f>
        <v>163</v>
      </c>
      <c r="F39" s="68">
        <f t="shared" ref="F39:F64" si="8">SUM(D39:E39)</f>
        <v>1071</v>
      </c>
      <c r="H39" s="71">
        <f>(F39-1)*'AVG RAS salary'!$F$66</f>
        <v>85128083.889986187</v>
      </c>
      <c r="I39" s="71">
        <f>(F39-1)*(VLOOKUP(B39,'FTE Allotment Factor'!$B$6:$D$63,3))</f>
        <v>90434046.965421185</v>
      </c>
      <c r="J39" s="71">
        <f>(F39-1)*(VLOOKUP(B39,'FTE Allotment Factor'!$B$6:$H$63,7))</f>
        <v>90434046.965421185</v>
      </c>
      <c r="K39" s="235">
        <f>VLOOKUP(A39,'CEO Salary'!$G$7:$H$13,2)</f>
        <v>321923.64124999999</v>
      </c>
      <c r="L39" s="235">
        <f t="shared" si="6"/>
        <v>341988.87560661417</v>
      </c>
      <c r="N39" s="85">
        <f>VLOOKUP(B39,BLS!$B$5:$I$64,8, FALSE)</f>
        <v>1.0623291730880737</v>
      </c>
      <c r="O39" s="90">
        <f t="shared" si="7"/>
        <v>90776035.841027796</v>
      </c>
      <c r="Q39" s="87">
        <f>VLOOKUP(B39,'Program 10'!$A$7:$G$64,6)</f>
        <v>0.39258587859673411</v>
      </c>
      <c r="R39" s="8">
        <f>VLOOKUP(B39,'Program 10'!$A$7:$G$64,7)</f>
        <v>22000.347672426265</v>
      </c>
      <c r="S39" s="87">
        <f>VLOOKUP(B39,'Program 90'!$A$7:$G$64,6)</f>
        <v>0.39496714660533655</v>
      </c>
      <c r="T39" s="8">
        <f>VLOOKUP(B39,'Program 90'!$A$7:$G$64,7)</f>
        <v>24404.205399962724</v>
      </c>
      <c r="U39" s="72">
        <f>(D39*VLOOKUP(B39,'FTE Allotment Factor'!$B$7:$H$64,7,FALSE)*Q39)+(D39*R39)</f>
        <v>50104205.259408094</v>
      </c>
      <c r="V39" s="72">
        <f>((((E39-1)*VLOOKUP(B39,'FTE Allotment Factor'!$B$7:$H$64,7,FALSE))+(K39*N39))*S39)+(T39*E39)</f>
        <v>9520804.1054384336</v>
      </c>
      <c r="W39" s="90">
        <f t="shared" ref="W39:W64" si="9">SUM(U39:V39)</f>
        <v>59625009.364846528</v>
      </c>
      <c r="Y39" s="90">
        <f>F39*(VLOOKUP(A39, 'OE&amp;E by Cluster'!$B$6:$C$9,2,FALSE))</f>
        <v>25671386.884207685</v>
      </c>
      <c r="AA39" s="235">
        <f>'AB1058'!E37</f>
        <v>2409071.1800000002</v>
      </c>
      <c r="AB39" s="90">
        <f t="shared" ref="AB39:AB64" si="10">(O39+W39+Y39)-AA39</f>
        <v>173663360.91008201</v>
      </c>
      <c r="AC39" s="91">
        <f t="shared" ref="AC39:AC64" si="11">AB39/$AB$65</f>
        <v>5.8053050837731497E-2</v>
      </c>
      <c r="AD39" s="55">
        <f t="shared" si="5"/>
        <v>162150.66378158919</v>
      </c>
    </row>
    <row r="40" spans="1:30" ht="20.100000000000001" customHeight="1" x14ac:dyDescent="0.25">
      <c r="A40" s="65">
        <v>4</v>
      </c>
      <c r="B40" s="66" t="s">
        <v>57</v>
      </c>
      <c r="D40" s="67">
        <f>RAS!M40</f>
        <v>594</v>
      </c>
      <c r="E40" s="67">
        <f>RAS!Q40</f>
        <v>105</v>
      </c>
      <c r="F40" s="68">
        <f t="shared" si="8"/>
        <v>699</v>
      </c>
      <c r="H40" s="71">
        <f>(F40-1)*'AVG RAS salary'!$F$66</f>
        <v>55532151.920757338</v>
      </c>
      <c r="I40" s="71">
        <f>(F40-1)*(VLOOKUP(B40,'FTE Allotment Factor'!$B$6:$D$63,3))</f>
        <v>73604001.956626326</v>
      </c>
      <c r="J40" s="71">
        <f>(F40-1)*(VLOOKUP(B40,'FTE Allotment Factor'!$B$6:$H$63,7))</f>
        <v>73604001.956626326</v>
      </c>
      <c r="K40" s="235">
        <f>VLOOKUP(A40,'CEO Salary'!$G$7:$H$13,2)</f>
        <v>321923.64124999999</v>
      </c>
      <c r="L40" s="235">
        <f t="shared" si="6"/>
        <v>426687.37840847787</v>
      </c>
      <c r="N40" s="85">
        <f>VLOOKUP(B40,BLS!$B$5:$I$64,8, FALSE)</f>
        <v>1.3254303932189941</v>
      </c>
      <c r="O40" s="90">
        <f t="shared" si="7"/>
        <v>74030689.335034803</v>
      </c>
      <c r="Q40" s="87">
        <f>VLOOKUP(B40,'Program 10'!$A$7:$G$64,6)</f>
        <v>0.41414372060785398</v>
      </c>
      <c r="R40" s="8">
        <f>VLOOKUP(B40,'Program 10'!$A$7:$G$64,7)</f>
        <v>23454.358310249492</v>
      </c>
      <c r="S40" s="87">
        <f>VLOOKUP(B40,'Program 90'!$A$7:$G$64,6)</f>
        <v>0.42826634609082304</v>
      </c>
      <c r="T40" s="8">
        <f>VLOOKUP(B40,'Program 90'!$A$7:$G$64,7)</f>
        <v>23009.019624821016</v>
      </c>
      <c r="U40" s="72">
        <f>(D40*VLOOKUP(B40,'FTE Allotment Factor'!$B$7:$H$64,7,FALSE)*Q40)+(D40*R40)</f>
        <v>39872698.752957717</v>
      </c>
      <c r="V40" s="72">
        <f>((((E40-1)*VLOOKUP(B40,'FTE Allotment Factor'!$B$7:$H$64,7,FALSE))+(K40*N40))*S40)+(T40*E40)</f>
        <v>7295388.0131964954</v>
      </c>
      <c r="W40" s="90">
        <f t="shared" si="9"/>
        <v>47168086.766154215</v>
      </c>
      <c r="Y40" s="90">
        <f>F40*(VLOOKUP(A40, 'OE&amp;E by Cluster'!$B$6:$C$9,2,FALSE))</f>
        <v>16754714.689132746</v>
      </c>
      <c r="AA40" s="235">
        <f>'AB1058'!E38</f>
        <v>2444375.63</v>
      </c>
      <c r="AB40" s="90">
        <f t="shared" si="10"/>
        <v>135509115.16032177</v>
      </c>
      <c r="AC40" s="91">
        <f t="shared" si="11"/>
        <v>4.5298660063658076E-2</v>
      </c>
      <c r="AD40" s="55">
        <f t="shared" si="5"/>
        <v>193861.39507914416</v>
      </c>
    </row>
    <row r="41" spans="1:30" ht="20.100000000000001" customHeight="1" x14ac:dyDescent="0.25">
      <c r="A41" s="65">
        <v>1</v>
      </c>
      <c r="B41" s="66" t="s">
        <v>16</v>
      </c>
      <c r="D41" s="67">
        <f>RAS!M41</f>
        <v>25</v>
      </c>
      <c r="E41" s="67">
        <f>RAS!Q41</f>
        <v>8</v>
      </c>
      <c r="F41" s="68">
        <f t="shared" si="8"/>
        <v>33</v>
      </c>
      <c r="H41" s="71">
        <f>(F41-1)*'AVG RAS salary'!$F$66</f>
        <v>2545886.6210089326</v>
      </c>
      <c r="I41" s="71">
        <f>(F41-1)*(VLOOKUP(B41,'FTE Allotment Factor'!$B$6:$D$63,3))</f>
        <v>2563102.8874443141</v>
      </c>
      <c r="J41" s="71">
        <f>(F41-1)*(VLOOKUP(B41,'FTE Allotment Factor'!$B$6:$H$63,7))</f>
        <v>2563102.8874443141</v>
      </c>
      <c r="K41" s="235">
        <f>VLOOKUP(A41,'CEO Salary'!$G$7:$H$13,2)</f>
        <v>157919.41593777778</v>
      </c>
      <c r="L41" s="235">
        <f t="shared" si="6"/>
        <v>158987.32788549335</v>
      </c>
      <c r="N41" s="85">
        <f>VLOOKUP(B41,BLS!$B$5:$I$64,8, FALSE)</f>
        <v>1.0067623853683472</v>
      </c>
      <c r="O41" s="90">
        <f t="shared" si="7"/>
        <v>2722090.2153298073</v>
      </c>
      <c r="Q41" s="87">
        <f>VLOOKUP(B41,'Program 10'!$A$7:$G$64,6)</f>
        <v>0.17439999999999997</v>
      </c>
      <c r="R41" s="8">
        <f>VLOOKUP(B41,'Program 10'!$A$7:$G$64,7)</f>
        <v>14573.843406593405</v>
      </c>
      <c r="S41" s="87">
        <f>VLOOKUP(B41,'Program 90'!$A$7:$G$64,6)</f>
        <v>0.17439999999999997</v>
      </c>
      <c r="T41" s="8">
        <f>VLOOKUP(B41,'Program 90'!$A$7:$G$64,7)</f>
        <v>21458.641666666663</v>
      </c>
      <c r="U41" s="72">
        <f>(D41*VLOOKUP(B41,'FTE Allotment Factor'!$B$7:$H$64,7,FALSE)*Q41)+(D41*R41)</f>
        <v>713568.85357912281</v>
      </c>
      <c r="V41" s="72">
        <f>((((E41-1)*VLOOKUP(B41,'FTE Allotment Factor'!$B$7:$H$64,7,FALSE))+(K41*N41))*S41)+(T41*E41)</f>
        <v>297178.89847256395</v>
      </c>
      <c r="W41" s="90">
        <f t="shared" si="9"/>
        <v>1010747.7520516868</v>
      </c>
      <c r="Y41" s="90">
        <f>F41*(VLOOKUP(A41, 'OE&amp;E by Cluster'!$B$6:$C$9,2,FALSE))</f>
        <v>1473082.9556829252</v>
      </c>
      <c r="AA41" s="235">
        <f>'AB1058'!E39</f>
        <v>188384.72</v>
      </c>
      <c r="AB41" s="90">
        <f t="shared" si="10"/>
        <v>5017536.2030644193</v>
      </c>
      <c r="AC41" s="91">
        <f t="shared" si="11"/>
        <v>1.677286923103344E-3</v>
      </c>
      <c r="AD41" s="55">
        <f t="shared" si="5"/>
        <v>152046.5516080127</v>
      </c>
    </row>
    <row r="42" spans="1:30" ht="20.100000000000001" customHeight="1" x14ac:dyDescent="0.25">
      <c r="A42" s="65">
        <v>4</v>
      </c>
      <c r="B42" s="66" t="s">
        <v>58</v>
      </c>
      <c r="D42" s="67">
        <f>RAS!M42</f>
        <v>942</v>
      </c>
      <c r="E42" s="67">
        <f>RAS!Q42</f>
        <v>167</v>
      </c>
      <c r="F42" s="68">
        <f t="shared" si="8"/>
        <v>1109</v>
      </c>
      <c r="H42" s="71">
        <f>(F42-1)*'AVG RAS salary'!$F$66</f>
        <v>88151324.252434283</v>
      </c>
      <c r="I42" s="71">
        <f>(F42-1)*(VLOOKUP(B42,'FTE Allotment Factor'!$B$6:$D$63,3))</f>
        <v>100887689.4108154</v>
      </c>
      <c r="J42" s="71">
        <f>(F42-1)*(VLOOKUP(B42,'FTE Allotment Factor'!$B$6:$H$63,7))</f>
        <v>100887689.4108154</v>
      </c>
      <c r="K42" s="235">
        <f>VLOOKUP(A42,'CEO Salary'!$G$7:$H$13,2)</f>
        <v>321923.64124999999</v>
      </c>
      <c r="L42" s="235">
        <f t="shared" si="6"/>
        <v>368436.12512754602</v>
      </c>
      <c r="N42" s="85">
        <f>VLOOKUP(B42,BLS!$B$5:$I$64,8, FALSE)</f>
        <v>1.1444829702377319</v>
      </c>
      <c r="O42" s="90">
        <f t="shared" si="7"/>
        <v>101256125.53594294</v>
      </c>
      <c r="Q42" s="87">
        <f>VLOOKUP(B42,'Program 10'!$A$7:$G$64,6)</f>
        <v>0.29633922594199141</v>
      </c>
      <c r="R42" s="8">
        <f>VLOOKUP(B42,'Program 10'!$A$7:$G$64,7)</f>
        <v>15963.007850197762</v>
      </c>
      <c r="S42" s="87">
        <f>VLOOKUP(B42,'Program 90'!$A$7:$G$64,6)</f>
        <v>0.32479169634307453</v>
      </c>
      <c r="T42" s="8">
        <f>VLOOKUP(B42,'Program 90'!$A$7:$G$64,7)</f>
        <v>17544.305266306339</v>
      </c>
      <c r="U42" s="72">
        <f>(D42*VLOOKUP(B42,'FTE Allotment Factor'!$B$7:$H$64,7,FALSE)*Q42)+(D42*R42)</f>
        <v>40454982.780650377</v>
      </c>
      <c r="V42" s="72">
        <f>((((E42-1)*VLOOKUP(B42,'FTE Allotment Factor'!$B$7:$H$64,7,FALSE))+(K42*N42))*S42)+(T42*E42)</f>
        <v>7958771.8328639632</v>
      </c>
      <c r="W42" s="90">
        <f t="shared" si="9"/>
        <v>48413754.613514341</v>
      </c>
      <c r="Y42" s="90">
        <f>F42*(VLOOKUP(A42, 'OE&amp;E by Cluster'!$B$6:$C$9,2,FALSE))</f>
        <v>26582229.742844373</v>
      </c>
      <c r="AA42" s="235">
        <f>'AB1058'!E40</f>
        <v>4381901.07</v>
      </c>
      <c r="AB42" s="90">
        <f t="shared" si="10"/>
        <v>171870208.82230166</v>
      </c>
      <c r="AC42" s="91">
        <f t="shared" si="11"/>
        <v>5.7453627051584709E-2</v>
      </c>
      <c r="AD42" s="55">
        <f t="shared" si="5"/>
        <v>154977.64546645776</v>
      </c>
    </row>
    <row r="43" spans="1:30" ht="20.100000000000001" customHeight="1" x14ac:dyDescent="0.25">
      <c r="A43" s="65">
        <v>4</v>
      </c>
      <c r="B43" s="66" t="s">
        <v>59</v>
      </c>
      <c r="D43" s="67">
        <f>RAS!M43</f>
        <v>948</v>
      </c>
      <c r="E43" s="67">
        <f>RAS!Q43</f>
        <v>163</v>
      </c>
      <c r="F43" s="68">
        <f t="shared" si="8"/>
        <v>1111</v>
      </c>
      <c r="H43" s="71">
        <f>(F43-1)*'AVG RAS salary'!$F$66</f>
        <v>88310442.166247353</v>
      </c>
      <c r="I43" s="71">
        <f>(F43-1)*(VLOOKUP(B43,'FTE Allotment Factor'!$B$6:$D$63,3))</f>
        <v>104042194.56725492</v>
      </c>
      <c r="J43" s="71">
        <f>(F43-1)*(VLOOKUP(B43,'FTE Allotment Factor'!$B$6:$H$63,7))</f>
        <v>104042194.56725492</v>
      </c>
      <c r="K43" s="235">
        <f>VLOOKUP(A43,'CEO Salary'!$G$7:$H$13,2)</f>
        <v>321923.64124999999</v>
      </c>
      <c r="L43" s="235">
        <f t="shared" si="6"/>
        <v>379271.59345073561</v>
      </c>
      <c r="N43" s="85">
        <f>VLOOKUP(B43,BLS!$B$5:$I$64,8, FALSE)</f>
        <v>1.1781414747238159</v>
      </c>
      <c r="O43" s="90">
        <f t="shared" si="7"/>
        <v>104421466.16070566</v>
      </c>
      <c r="Q43" s="87">
        <f>VLOOKUP(B43,'Program 10'!$A$7:$G$64,6)</f>
        <v>0.51187034927180131</v>
      </c>
      <c r="R43" s="8">
        <f>VLOOKUP(B43,'Program 10'!$A$7:$G$64,7)</f>
        <v>25405.769714348888</v>
      </c>
      <c r="S43" s="87">
        <f>VLOOKUP(B43,'Program 90'!$A$7:$G$64,6)</f>
        <v>0.52825074698847208</v>
      </c>
      <c r="T43" s="8">
        <f>VLOOKUP(B43,'Program 90'!$A$7:$G$64,7)</f>
        <v>25841.863241188312</v>
      </c>
      <c r="U43" s="72">
        <f>(D43*VLOOKUP(B43,'FTE Allotment Factor'!$B$7:$H$64,7,FALSE)*Q43)+(D43*R43)</f>
        <v>69568270.157305375</v>
      </c>
      <c r="V43" s="72">
        <f>((((E43-1)*VLOOKUP(B43,'FTE Allotment Factor'!$B$7:$H$64,7,FALSE))+(K43*N43))*S43)+(T43*E43)</f>
        <v>12433816.961993953</v>
      </c>
      <c r="W43" s="90">
        <f t="shared" si="9"/>
        <v>82002087.119299322</v>
      </c>
      <c r="Y43" s="90">
        <f>F43*(VLOOKUP(A43, 'OE&amp;E by Cluster'!$B$6:$C$9,2,FALSE))</f>
        <v>26630168.840667356</v>
      </c>
      <c r="AA43" s="235">
        <f>'AB1058'!E41</f>
        <v>3768986</v>
      </c>
      <c r="AB43" s="90">
        <f t="shared" si="10"/>
        <v>209284736.12067235</v>
      </c>
      <c r="AC43" s="91">
        <f t="shared" si="11"/>
        <v>6.9960741067687515E-2</v>
      </c>
      <c r="AD43" s="55">
        <f t="shared" si="5"/>
        <v>188375.10001860696</v>
      </c>
    </row>
    <row r="44" spans="1:30" ht="20.100000000000001" customHeight="1" x14ac:dyDescent="0.25">
      <c r="A44" s="65">
        <v>3</v>
      </c>
      <c r="B44" s="66" t="s">
        <v>60</v>
      </c>
      <c r="D44" s="67">
        <f>RAS!M44</f>
        <v>236</v>
      </c>
      <c r="E44" s="67">
        <f>RAS!Q44</f>
        <v>43</v>
      </c>
      <c r="F44" s="68">
        <f t="shared" si="8"/>
        <v>279</v>
      </c>
      <c r="H44" s="71">
        <f>(F44-1)*'AVG RAS salary'!$F$66</f>
        <v>22117390.020015102</v>
      </c>
      <c r="I44" s="71">
        <f>(F44-1)*(VLOOKUP(B44,'FTE Allotment Factor'!$B$6:$D$63,3))</f>
        <v>37313543.262949802</v>
      </c>
      <c r="J44" s="71">
        <f>(F44-1)*(VLOOKUP(B44,'FTE Allotment Factor'!$B$6:$H$63,7))</f>
        <v>37313543.262949802</v>
      </c>
      <c r="K44" s="235">
        <f>VLOOKUP(A44,'CEO Salary'!$G$7:$H$13,2)</f>
        <v>247837.75653896623</v>
      </c>
      <c r="L44" s="235">
        <f t="shared" si="6"/>
        <v>418119.17420818814</v>
      </c>
      <c r="N44" s="85">
        <f>VLOOKUP(B44,BLS!$B$5:$I$64,8, FALSE)</f>
        <v>1.6870681047439575</v>
      </c>
      <c r="O44" s="90">
        <f t="shared" si="7"/>
        <v>37731662.437157989</v>
      </c>
      <c r="Q44" s="87">
        <f>VLOOKUP(B44,'Program 10'!$A$7:$G$64,6)</f>
        <v>0.32139460330692887</v>
      </c>
      <c r="R44" s="8">
        <f>VLOOKUP(B44,'Program 10'!$A$7:$G$64,7)</f>
        <v>39079.323443084555</v>
      </c>
      <c r="S44" s="87">
        <f>VLOOKUP(B44,'Program 90'!$A$7:$G$64,6)</f>
        <v>0.32062908716308469</v>
      </c>
      <c r="T44" s="8">
        <f>VLOOKUP(B44,'Program 90'!$A$7:$G$64,7)</f>
        <v>39075.818999999974</v>
      </c>
      <c r="U44" s="72">
        <f>(D44*VLOOKUP(B44,'FTE Allotment Factor'!$B$7:$H$64,7,FALSE)*Q44)+(D44*R44)</f>
        <v>19403294.644270532</v>
      </c>
      <c r="V44" s="72">
        <f>((((E44-1)*VLOOKUP(B44,'FTE Allotment Factor'!$B$7:$H$64,7,FALSE))+(K44*N44))*S44)+(T44*E44)</f>
        <v>3621803.066868423</v>
      </c>
      <c r="W44" s="90">
        <f t="shared" si="9"/>
        <v>23025097.711138956</v>
      </c>
      <c r="Y44" s="90">
        <f>F44*(VLOOKUP(A44, 'OE&amp;E by Cluster'!$B$6:$C$9,2,FALSE))</f>
        <v>6687504.1463062037</v>
      </c>
      <c r="AA44" s="235">
        <f>'AB1058'!E42</f>
        <v>1106883.1399999999</v>
      </c>
      <c r="AB44" s="90">
        <f t="shared" si="10"/>
        <v>66337381.154603153</v>
      </c>
      <c r="AC44" s="91">
        <f t="shared" si="11"/>
        <v>2.2175589257449259E-2</v>
      </c>
      <c r="AD44" s="55">
        <f t="shared" si="5"/>
        <v>237768.39123513675</v>
      </c>
    </row>
    <row r="45" spans="1:30" ht="20.100000000000001" customHeight="1" x14ac:dyDescent="0.25">
      <c r="A45" s="65">
        <v>3</v>
      </c>
      <c r="B45" s="66" t="s">
        <v>45</v>
      </c>
      <c r="D45" s="67">
        <f>RAS!M45</f>
        <v>309</v>
      </c>
      <c r="E45" s="67">
        <f>RAS!Q45</f>
        <v>51</v>
      </c>
      <c r="F45" s="68">
        <f t="shared" si="8"/>
        <v>360</v>
      </c>
      <c r="H45" s="71">
        <f>(F45-1)*'AVG RAS salary'!$F$66</f>
        <v>28561665.529443964</v>
      </c>
      <c r="I45" s="71">
        <f>(F45-1)*(VLOOKUP(B45,'FTE Allotment Factor'!$B$6:$D$63,3))</f>
        <v>30041044.399678607</v>
      </c>
      <c r="J45" s="71">
        <f>(F45-1)*(VLOOKUP(B45,'FTE Allotment Factor'!$B$6:$H$63,7))</f>
        <v>30041044.399678607</v>
      </c>
      <c r="K45" s="235">
        <f>VLOOKUP(A45,'CEO Salary'!$G$7:$H$13,2)</f>
        <v>247837.75653896623</v>
      </c>
      <c r="L45" s="235">
        <f t="shared" si="6"/>
        <v>260674.75093245259</v>
      </c>
      <c r="N45" s="85">
        <f>VLOOKUP(B45,BLS!$B$5:$I$64,8, FALSE)</f>
        <v>1.0517959594726563</v>
      </c>
      <c r="O45" s="90">
        <f t="shared" si="7"/>
        <v>30301719.150611058</v>
      </c>
      <c r="Q45" s="87">
        <f>VLOOKUP(B45,'Program 10'!$A$7:$G$64,6)</f>
        <v>0.50154129214458731</v>
      </c>
      <c r="R45" s="8">
        <f>VLOOKUP(B45,'Program 10'!$A$7:$G$64,7)</f>
        <v>17230.033816155021</v>
      </c>
      <c r="S45" s="87">
        <f>VLOOKUP(B45,'Program 90'!$A$7:$G$64,6)</f>
        <v>0.5389720272421149</v>
      </c>
      <c r="T45" s="8">
        <f>VLOOKUP(B45,'Program 90'!$A$7:$G$64,7)</f>
        <v>14849.23371404036</v>
      </c>
      <c r="U45" s="72">
        <f>(D45*VLOOKUP(B45,'FTE Allotment Factor'!$B$7:$H$64,7,FALSE)*Q45)+(D45*R45)</f>
        <v>18292461.189321727</v>
      </c>
      <c r="V45" s="72">
        <f>((((E45-1)*VLOOKUP(B45,'FTE Allotment Factor'!$B$7:$H$64,7,FALSE))+(K45*N45))*S45)+(T45*E45)</f>
        <v>3152860.6053637471</v>
      </c>
      <c r="W45" s="90">
        <f t="shared" si="9"/>
        <v>21445321.794685476</v>
      </c>
      <c r="Y45" s="90">
        <f>F45*(VLOOKUP(A45, 'OE&amp;E by Cluster'!$B$6:$C$9,2,FALSE))</f>
        <v>8629037.6081370376</v>
      </c>
      <c r="AA45" s="235">
        <f>'AB1058'!E43</f>
        <v>1011540.31</v>
      </c>
      <c r="AB45" s="90">
        <f t="shared" si="10"/>
        <v>59364538.243433565</v>
      </c>
      <c r="AC45" s="91">
        <f t="shared" si="11"/>
        <v>1.9844672696325952E-2</v>
      </c>
      <c r="AD45" s="55">
        <f t="shared" si="5"/>
        <v>164901.49512064879</v>
      </c>
    </row>
    <row r="46" spans="1:30" ht="20.100000000000001" customHeight="1" x14ac:dyDescent="0.25">
      <c r="A46" s="65">
        <v>2</v>
      </c>
      <c r="B46" s="66" t="s">
        <v>32</v>
      </c>
      <c r="D46" s="67">
        <f>RAS!M46</f>
        <v>113</v>
      </c>
      <c r="E46" s="67">
        <f>RAS!Q46</f>
        <v>24</v>
      </c>
      <c r="F46" s="68">
        <f t="shared" si="8"/>
        <v>137</v>
      </c>
      <c r="H46" s="71">
        <f>(F46-1)*'AVG RAS salary'!$F$66</f>
        <v>10820018.139287964</v>
      </c>
      <c r="I46" s="71">
        <f>(F46-1)*(VLOOKUP(B46,'FTE Allotment Factor'!$B$6:$D$63,3))</f>
        <v>11020270.705170035</v>
      </c>
      <c r="J46" s="71">
        <f>(F46-1)*(VLOOKUP(B46,'FTE Allotment Factor'!$B$6:$H$63,7))</f>
        <v>11020270.705170035</v>
      </c>
      <c r="K46" s="235">
        <f>VLOOKUP(A46,'CEO Salary'!$G$7:$H$13,2)</f>
        <v>218101.02419818181</v>
      </c>
      <c r="L46" s="235">
        <f t="shared" si="6"/>
        <v>222137.55067669175</v>
      </c>
      <c r="N46" s="85">
        <f>VLOOKUP(B46,BLS!$B$5:$I$64,8, FALSE)</f>
        <v>1.0185075998306274</v>
      </c>
      <c r="O46" s="90">
        <f t="shared" si="7"/>
        <v>11242408.255846728</v>
      </c>
      <c r="Q46" s="87">
        <f>VLOOKUP(B46,'Program 10'!$A$7:$G$64,6)</f>
        <v>0.48673178016796947</v>
      </c>
      <c r="R46" s="8">
        <f>VLOOKUP(B46,'Program 10'!$A$7:$G$64,7)</f>
        <v>16868.479161290335</v>
      </c>
      <c r="S46" s="87">
        <f>VLOOKUP(B46,'Program 90'!$A$7:$G$64,6)</f>
        <v>0.51725609612216916</v>
      </c>
      <c r="T46" s="8">
        <f>VLOOKUP(B46,'Program 90'!$A$7:$G$64,7)</f>
        <v>17100.583999999995</v>
      </c>
      <c r="U46" s="72">
        <f>(D46*VLOOKUP(B46,'FTE Allotment Factor'!$B$7:$H$64,7,FALSE)*Q46)+(D46*R46)</f>
        <v>6362921.2742215283</v>
      </c>
      <c r="V46" s="72">
        <f>((((E46-1)*VLOOKUP(B46,'FTE Allotment Factor'!$B$7:$H$64,7,FALSE))+(K46*N46))*S46)+(T46*E46)</f>
        <v>1489337.7143887866</v>
      </c>
      <c r="W46" s="90">
        <f t="shared" si="9"/>
        <v>7852258.9886103151</v>
      </c>
      <c r="Y46" s="90">
        <f>F46*(VLOOKUP(A46, 'OE&amp;E by Cluster'!$B$6:$C$9,2,FALSE))</f>
        <v>3283828.2008743724</v>
      </c>
      <c r="AA46" s="235">
        <f>'AB1058'!E44</f>
        <v>238125.5</v>
      </c>
      <c r="AB46" s="90">
        <f t="shared" si="10"/>
        <v>22140369.945331417</v>
      </c>
      <c r="AC46" s="91">
        <f t="shared" si="11"/>
        <v>7.4011928323096752E-3</v>
      </c>
      <c r="AD46" s="55">
        <f t="shared" si="5"/>
        <v>161608.53974694465</v>
      </c>
    </row>
    <row r="47" spans="1:30" ht="20.100000000000001" customHeight="1" x14ac:dyDescent="0.25">
      <c r="A47" s="65">
        <v>3</v>
      </c>
      <c r="B47" s="66" t="s">
        <v>46</v>
      </c>
      <c r="D47" s="67">
        <f>RAS!M47</f>
        <v>213</v>
      </c>
      <c r="E47" s="67">
        <f>RAS!Q47</f>
        <v>37</v>
      </c>
      <c r="F47" s="68">
        <f t="shared" si="8"/>
        <v>250</v>
      </c>
      <c r="H47" s="71">
        <f>(F47-1)*'AVG RAS salary'!$F$66</f>
        <v>19810180.269725755</v>
      </c>
      <c r="I47" s="71">
        <f>(F47-1)*(VLOOKUP(B47,'FTE Allotment Factor'!$B$6:$D$63,3))</f>
        <v>31919508.043383703</v>
      </c>
      <c r="J47" s="71">
        <f>(F47-1)*(VLOOKUP(B47,'FTE Allotment Factor'!$B$6:$H$63,7))</f>
        <v>31919508.043383703</v>
      </c>
      <c r="K47" s="235">
        <f>VLOOKUP(A47,'CEO Salary'!$G$7:$H$13,2)</f>
        <v>247837.75653896623</v>
      </c>
      <c r="L47" s="235">
        <f t="shared" si="6"/>
        <v>399333.02754388412</v>
      </c>
      <c r="N47" s="85">
        <f>VLOOKUP(B47,BLS!$B$5:$I$64,8, FALSE)</f>
        <v>1.6112679243087769</v>
      </c>
      <c r="O47" s="90">
        <f t="shared" si="7"/>
        <v>32318841.070927586</v>
      </c>
      <c r="Q47" s="87">
        <f>VLOOKUP(B47,'Program 10'!$A$7:$G$64,6)</f>
        <v>0.33843780104368798</v>
      </c>
      <c r="R47" s="8">
        <f>VLOOKUP(B47,'Program 10'!$A$7:$G$64,7)</f>
        <v>27970.000000000004</v>
      </c>
      <c r="S47" s="87">
        <f>VLOOKUP(B47,'Program 90'!$A$7:$G$64,6)</f>
        <v>0.33529827358319653</v>
      </c>
      <c r="T47" s="8">
        <f>VLOOKUP(B47,'Program 90'!$A$7:$G$64,7)</f>
        <v>27970</v>
      </c>
      <c r="U47" s="72">
        <f>(D47*VLOOKUP(B47,'FTE Allotment Factor'!$B$7:$H$64,7,FALSE)*Q47)+(D47*R47)</f>
        <v>15198532.120416094</v>
      </c>
      <c r="V47" s="72">
        <f>((((E47-1)*VLOOKUP(B47,'FTE Allotment Factor'!$B$7:$H$64,7,FALSE))+(K47*N47))*S47)+(T47*E47)</f>
        <v>2716143.1601040484</v>
      </c>
      <c r="W47" s="90">
        <f t="shared" si="9"/>
        <v>17914675.280520141</v>
      </c>
      <c r="Y47" s="90">
        <f>F47*(VLOOKUP(A47, 'OE&amp;E by Cluster'!$B$6:$C$9,2,FALSE))</f>
        <v>5992387.2278729426</v>
      </c>
      <c r="AA47" s="235">
        <f>'AB1058'!E45</f>
        <v>656666.21</v>
      </c>
      <c r="AB47" s="90">
        <f t="shared" si="10"/>
        <v>55569237.369320676</v>
      </c>
      <c r="AC47" s="91">
        <f t="shared" si="11"/>
        <v>1.8575960669593716E-2</v>
      </c>
      <c r="AD47" s="55">
        <f t="shared" si="5"/>
        <v>222276.9494772827</v>
      </c>
    </row>
    <row r="48" spans="1:30" ht="20.100000000000001" customHeight="1" x14ac:dyDescent="0.25">
      <c r="A48" s="65">
        <v>3</v>
      </c>
      <c r="B48" s="66" t="s">
        <v>47</v>
      </c>
      <c r="D48" s="67">
        <f>RAS!M48</f>
        <v>158</v>
      </c>
      <c r="E48" s="67">
        <f>RAS!Q48</f>
        <v>29</v>
      </c>
      <c r="F48" s="68">
        <f t="shared" si="8"/>
        <v>187</v>
      </c>
      <c r="H48" s="71">
        <f>(F48-1)*'AVG RAS salary'!$F$66</f>
        <v>14797965.984614421</v>
      </c>
      <c r="I48" s="71">
        <f>(F48-1)*(VLOOKUP(B48,'FTE Allotment Factor'!$B$6:$D$63,3))</f>
        <v>17965173.285555713</v>
      </c>
      <c r="J48" s="71">
        <f>(F48-1)*(VLOOKUP(B48,'FTE Allotment Factor'!$B$6:$H$63,7))</f>
        <v>17965173.285555713</v>
      </c>
      <c r="K48" s="235">
        <f>VLOOKUP(A48,'CEO Salary'!$G$7:$H$13,2)</f>
        <v>247837.75653896623</v>
      </c>
      <c r="L48" s="235">
        <f t="shared" si="6"/>
        <v>300882.44881459704</v>
      </c>
      <c r="N48" s="85">
        <f>VLOOKUP(B48,BLS!$B$5:$I$64,8, FALSE)</f>
        <v>1.2140299081802368</v>
      </c>
      <c r="O48" s="90">
        <f t="shared" si="7"/>
        <v>18266055.73437031</v>
      </c>
      <c r="Q48" s="87">
        <f>VLOOKUP(B48,'Program 10'!$A$7:$G$64,6)</f>
        <v>0.42451305793539157</v>
      </c>
      <c r="R48" s="8">
        <f>VLOOKUP(B48,'Program 10'!$A$7:$G$64,7)</f>
        <v>15991.40819672131</v>
      </c>
      <c r="S48" s="87">
        <f>VLOOKUP(B48,'Program 90'!$A$7:$G$64,6)</f>
        <v>0.42563559101337156</v>
      </c>
      <c r="T48" s="8">
        <f>VLOOKUP(B48,'Program 90'!$A$7:$G$64,7)</f>
        <v>18482.306936866713</v>
      </c>
      <c r="U48" s="72">
        <f>(D48*VLOOKUP(B48,'FTE Allotment Factor'!$B$7:$H$64,7,FALSE)*Q48)+(D48*R48)</f>
        <v>9005025.3034201004</v>
      </c>
      <c r="V48" s="72">
        <f>((((E48-1)*VLOOKUP(B48,'FTE Allotment Factor'!$B$7:$H$64,7,FALSE))+(K48*N48))*S48)+(T48*E48)</f>
        <v>1815156.8369428967</v>
      </c>
      <c r="W48" s="90">
        <f t="shared" si="9"/>
        <v>10820182.140362997</v>
      </c>
      <c r="Y48" s="90">
        <f>F48*(VLOOKUP(A48, 'OE&amp;E by Cluster'!$B$6:$C$9,2,FALSE))</f>
        <v>4482305.6464489605</v>
      </c>
      <c r="AA48" s="235">
        <f>'AB1058'!E46</f>
        <v>773172.54</v>
      </c>
      <c r="AB48" s="90">
        <f t="shared" si="10"/>
        <v>32795370.98118227</v>
      </c>
      <c r="AC48" s="91">
        <f t="shared" si="11"/>
        <v>1.0962999499926811E-2</v>
      </c>
      <c r="AD48" s="55">
        <f t="shared" si="5"/>
        <v>175376.31540739181</v>
      </c>
    </row>
    <row r="49" spans="1:30" ht="20.100000000000001" customHeight="1" x14ac:dyDescent="0.25">
      <c r="A49" s="65">
        <v>4</v>
      </c>
      <c r="B49" s="66" t="s">
        <v>61</v>
      </c>
      <c r="D49" s="67">
        <f>RAS!M49</f>
        <v>458</v>
      </c>
      <c r="E49" s="67">
        <f>RAS!Q49</f>
        <v>78</v>
      </c>
      <c r="F49" s="68">
        <f t="shared" si="8"/>
        <v>536</v>
      </c>
      <c r="H49" s="71">
        <f>(F49-1)*'AVG RAS salary'!$F$66</f>
        <v>42564041.944993094</v>
      </c>
      <c r="I49" s="71">
        <f>(F49-1)*(VLOOKUP(B49,'FTE Allotment Factor'!$B$6:$D$63,3))</f>
        <v>63178452.599440381</v>
      </c>
      <c r="J49" s="71">
        <f>(F49-1)*(VLOOKUP(B49,'FTE Allotment Factor'!$B$6:$H$63,7))</f>
        <v>63178452.599440381</v>
      </c>
      <c r="K49" s="235">
        <f>VLOOKUP(A49,'CEO Salary'!$G$7:$H$13,2)</f>
        <v>321923.64124999999</v>
      </c>
      <c r="L49" s="235">
        <f t="shared" si="6"/>
        <v>477836.14008361008</v>
      </c>
      <c r="N49" s="85">
        <f>VLOOKUP(B49,BLS!$B$5:$I$64,8, FALSE)</f>
        <v>1.4843151569366455</v>
      </c>
      <c r="O49" s="90">
        <f t="shared" si="7"/>
        <v>63656288.739523992</v>
      </c>
      <c r="Q49" s="87">
        <f>VLOOKUP(B49,'Program 10'!$A$7:$G$64,6)</f>
        <v>0.36358996199537286</v>
      </c>
      <c r="R49" s="8">
        <f>VLOOKUP(B49,'Program 10'!$A$7:$G$64,7)</f>
        <v>25086.737036466089</v>
      </c>
      <c r="S49" s="87">
        <f>VLOOKUP(B49,'Program 90'!$A$7:$G$64,6)</f>
        <v>0.36270052503991279</v>
      </c>
      <c r="T49" s="8">
        <f>VLOOKUP(B49,'Program 90'!$A$7:$G$64,7)</f>
        <v>24726.343857684536</v>
      </c>
      <c r="U49" s="72">
        <f>(D49*VLOOKUP(B49,'FTE Allotment Factor'!$B$7:$H$64,7,FALSE)*Q49)+(D49*R49)</f>
        <v>31154662.834172688</v>
      </c>
      <c r="V49" s="72">
        <f>((((E49-1)*VLOOKUP(B49,'FTE Allotment Factor'!$B$7:$H$64,7,FALSE))+(K49*N49))*S49)+(T49*E49)</f>
        <v>5399992.5211646389</v>
      </c>
      <c r="W49" s="90">
        <f t="shared" si="9"/>
        <v>36554655.355337329</v>
      </c>
      <c r="Y49" s="90">
        <f>F49*(VLOOKUP(A49, 'OE&amp;E by Cluster'!$B$6:$C$9,2,FALSE))</f>
        <v>12847678.216559589</v>
      </c>
      <c r="AA49" s="235">
        <f>'AB1058'!E47</f>
        <v>1915883.2500000002</v>
      </c>
      <c r="AB49" s="90">
        <f t="shared" si="10"/>
        <v>111142739.06142092</v>
      </c>
      <c r="AC49" s="91">
        <f t="shared" si="11"/>
        <v>3.715334683818626E-2</v>
      </c>
      <c r="AD49" s="55">
        <f t="shared" si="5"/>
        <v>207355.85645787485</v>
      </c>
    </row>
    <row r="50" spans="1:30" ht="20.100000000000001" customHeight="1" x14ac:dyDescent="0.25">
      <c r="A50" s="65">
        <v>2</v>
      </c>
      <c r="B50" s="66" t="s">
        <v>33</v>
      </c>
      <c r="D50" s="67">
        <f>RAS!M50</f>
        <v>91</v>
      </c>
      <c r="E50" s="67">
        <f>RAS!Q50</f>
        <v>21</v>
      </c>
      <c r="F50" s="68">
        <f t="shared" si="8"/>
        <v>112</v>
      </c>
      <c r="H50" s="71">
        <f>(F50-1)*'AVG RAS salary'!$F$66</f>
        <v>8831044.2166247349</v>
      </c>
      <c r="I50" s="71">
        <f>(F50-1)*(VLOOKUP(B50,'FTE Allotment Factor'!$B$6:$D$63,3))</f>
        <v>9740579.0022178404</v>
      </c>
      <c r="J50" s="71">
        <f>(F50-1)*(VLOOKUP(B50,'FTE Allotment Factor'!$B$6:$H$63,7))</f>
        <v>9740579.0022178404</v>
      </c>
      <c r="K50" s="235">
        <f>VLOOKUP(A50,'CEO Salary'!$G$7:$H$13,2)</f>
        <v>218101.02419818181</v>
      </c>
      <c r="L50" s="235">
        <f t="shared" si="6"/>
        <v>240563.87948638108</v>
      </c>
      <c r="N50" s="85">
        <f>VLOOKUP(B50,BLS!$B$5:$I$64,8, FALSE)</f>
        <v>1.1029928922653198</v>
      </c>
      <c r="O50" s="90">
        <f t="shared" si="7"/>
        <v>9981142.8817042224</v>
      </c>
      <c r="Q50" s="87">
        <f>VLOOKUP(B50,'Program 10'!$A$7:$G$64,6)</f>
        <v>0.39133118781744275</v>
      </c>
      <c r="R50" s="8">
        <f>VLOOKUP(B50,'Program 10'!$A$7:$G$64,7)</f>
        <v>21727.323342438522</v>
      </c>
      <c r="S50" s="87">
        <f>VLOOKUP(B50,'Program 90'!$A$7:$G$64,6)</f>
        <v>0.38934337200983704</v>
      </c>
      <c r="T50" s="8">
        <f>VLOOKUP(B50,'Program 90'!$A$7:$G$64,7)</f>
        <v>26696.365942569733</v>
      </c>
      <c r="U50" s="72">
        <f>(D50*VLOOKUP(B50,'FTE Allotment Factor'!$B$7:$H$64,7,FALSE)*Q50)+(D50*R50)</f>
        <v>5102169.3425226891</v>
      </c>
      <c r="V50" s="72">
        <f>((((E50-1)*VLOOKUP(B50,'FTE Allotment Factor'!$B$7:$H$64,7,FALSE))+(K50*N50))*S50)+(T50*E50)</f>
        <v>1337606.3348442949</v>
      </c>
      <c r="W50" s="90">
        <f t="shared" si="9"/>
        <v>6439775.6773669841</v>
      </c>
      <c r="Y50" s="90">
        <f>F50*(VLOOKUP(A50, 'OE&amp;E by Cluster'!$B$6:$C$9,2,FALSE))</f>
        <v>2684589.4780870783</v>
      </c>
      <c r="AA50" s="235">
        <f>'AB1058'!E48</f>
        <v>351540.30000000005</v>
      </c>
      <c r="AB50" s="90">
        <f t="shared" si="10"/>
        <v>18753967.737158284</v>
      </c>
      <c r="AC50" s="91">
        <f t="shared" si="11"/>
        <v>6.2691694825492712E-3</v>
      </c>
      <c r="AD50" s="55">
        <f t="shared" si="5"/>
        <v>167446.14051034182</v>
      </c>
    </row>
    <row r="51" spans="1:30" ht="20.100000000000001" customHeight="1" x14ac:dyDescent="0.25">
      <c r="A51" s="65">
        <v>2</v>
      </c>
      <c r="B51" s="66" t="s">
        <v>34</v>
      </c>
      <c r="D51" s="67">
        <f>RAS!M51</f>
        <v>121</v>
      </c>
      <c r="E51" s="67">
        <f>RAS!Q51</f>
        <v>34</v>
      </c>
      <c r="F51" s="68">
        <f t="shared" si="8"/>
        <v>155</v>
      </c>
      <c r="H51" s="71">
        <f>(F51-1)*'AVG RAS salary'!$F$66</f>
        <v>12252079.363605488</v>
      </c>
      <c r="I51" s="71">
        <f>(F51-1)*(VLOOKUP(B51,'FTE Allotment Factor'!$B$6:$D$63,3))</f>
        <v>11341997.540759549</v>
      </c>
      <c r="J51" s="71">
        <f>(F51-1)*(VLOOKUP(B51,'FTE Allotment Factor'!$B$6:$H$63,7))</f>
        <v>11341997.540759549</v>
      </c>
      <c r="K51" s="235">
        <f>VLOOKUP(A51,'CEO Salary'!$G$7:$H$13,2)</f>
        <v>218101.02419818181</v>
      </c>
      <c r="L51" s="235">
        <f t="shared" si="6"/>
        <v>201900.52697838278</v>
      </c>
      <c r="N51" s="85">
        <f>VLOOKUP(B51,BLS!$B$5:$I$64,8, FALSE)</f>
        <v>0.92572021484375</v>
      </c>
      <c r="O51" s="90">
        <f t="shared" si="7"/>
        <v>11543898.067737931</v>
      </c>
      <c r="Q51" s="87">
        <f>VLOOKUP(B51,'Program 10'!$A$7:$G$64,6)</f>
        <v>0.16741135222984974</v>
      </c>
      <c r="R51" s="8">
        <f>VLOOKUP(B51,'Program 10'!$A$7:$G$64,7)</f>
        <v>23757.508761437974</v>
      </c>
      <c r="S51" s="87">
        <f>VLOOKUP(B51,'Program 90'!$A$7:$G$64,6)</f>
        <v>0.17450000000000002</v>
      </c>
      <c r="T51" s="8">
        <f>VLOOKUP(B51,'Program 90'!$A$7:$G$64,7)</f>
        <v>27549.720280911119</v>
      </c>
      <c r="U51" s="72">
        <f>(D51*VLOOKUP(B51,'FTE Allotment Factor'!$B$7:$H$64,7,FALSE)*Q51)+(D51*R51)</f>
        <v>4366556.4600017127</v>
      </c>
      <c r="V51" s="72">
        <f>((((E51-1)*VLOOKUP(B51,'FTE Allotment Factor'!$B$7:$H$64,7,FALSE))+(K51*N51))*S51)+(T51*E51)</f>
        <v>1396031.8252649647</v>
      </c>
      <c r="W51" s="90">
        <f t="shared" si="9"/>
        <v>5762588.2852666769</v>
      </c>
      <c r="Y51" s="90">
        <f>F51*(VLOOKUP(A51, 'OE&amp;E by Cluster'!$B$6:$C$9,2,FALSE))</f>
        <v>3715280.0812812243</v>
      </c>
      <c r="AA51" s="235">
        <f>'AB1058'!E49</f>
        <v>625808.38</v>
      </c>
      <c r="AB51" s="90">
        <f t="shared" si="10"/>
        <v>20395958.054285835</v>
      </c>
      <c r="AC51" s="91">
        <f t="shared" si="11"/>
        <v>6.8180621612106262E-3</v>
      </c>
      <c r="AD51" s="55">
        <f t="shared" si="5"/>
        <v>131586.8261566828</v>
      </c>
    </row>
    <row r="52" spans="1:30" ht="20.100000000000001" customHeight="1" x14ac:dyDescent="0.25">
      <c r="A52" s="65">
        <v>1</v>
      </c>
      <c r="B52" s="66" t="s">
        <v>17</v>
      </c>
      <c r="D52" s="67">
        <f>RAS!M52</f>
        <v>2</v>
      </c>
      <c r="E52" s="67">
        <f>RAS!Q52</f>
        <v>2</v>
      </c>
      <c r="F52" s="68">
        <f t="shared" si="8"/>
        <v>4</v>
      </c>
      <c r="H52" s="71">
        <f>(F52-1)*'AVG RAS salary'!$F$66</f>
        <v>238676.87071958743</v>
      </c>
      <c r="I52" s="71">
        <f>(F52-1)*(VLOOKUP(B52,'FTE Allotment Factor'!$B$6:$D$63,3))</f>
        <v>168576.41164603148</v>
      </c>
      <c r="J52" s="71">
        <f>(F52-1)*(VLOOKUP(B52,'FTE Allotment Factor'!$B$6:$H$63,7))</f>
        <v>186706.27363628591</v>
      </c>
      <c r="K52" s="235">
        <f>VLOOKUP(A52,'CEO Salary'!$G$7:$H$13,2)</f>
        <v>157919.41593777778</v>
      </c>
      <c r="L52" s="235">
        <f>IF(N52&lt;&gt;0,N52*K52,K52)</f>
        <v>111537.78071484894</v>
      </c>
      <c r="N52" s="85">
        <f>VLOOKUP(B52,BLS!$B$5:$I$64,8, FALSE)</f>
        <v>0.70629554986953735</v>
      </c>
      <c r="O52" s="90">
        <f t="shared" si="7"/>
        <v>298244.05435113487</v>
      </c>
      <c r="Q52" s="87">
        <f>VLOOKUP(B52,'Program 10'!$A$7:$G$64,6)</f>
        <v>0.38894785097446793</v>
      </c>
      <c r="R52" s="8">
        <f>VLOOKUP(B52,'Program 10'!$A$7:$G$64,7)</f>
        <v>25517.511450381673</v>
      </c>
      <c r="S52" s="87">
        <f>VLOOKUP(B52,'Program 90'!$A$7:$G$64,6)</f>
        <v>0.42600000000000005</v>
      </c>
      <c r="T52" s="8">
        <f>VLOOKUP(B52,'Program 90'!$A$7:$G$64,7)</f>
        <v>36733.999999999993</v>
      </c>
      <c r="U52" s="72">
        <f>(D52*VLOOKUP(B52,'FTE Allotment Factor'!$B$7:$H$64,7,FALSE)*Q52)+(D52*R52)</f>
        <v>99447.692163619591</v>
      </c>
      <c r="V52" s="72">
        <f>((((E52-1)*VLOOKUP(B52,'FTE Allotment Factor'!$B$7:$H$64,7,FALSE))+(K52*N52))*S52)+(T52*E52)</f>
        <v>147495.38544087822</v>
      </c>
      <c r="W52" s="90">
        <f t="shared" si="9"/>
        <v>246943.07760449781</v>
      </c>
      <c r="Y52" s="90">
        <f>F52*(VLOOKUP(A52, 'OE&amp;E by Cluster'!$B$6:$C$9,2,FALSE))</f>
        <v>178555.50977974851</v>
      </c>
      <c r="AA52" s="235">
        <f>'AB1058'!E50</f>
        <v>0</v>
      </c>
      <c r="AB52" s="90">
        <f t="shared" si="10"/>
        <v>723742.64173538121</v>
      </c>
      <c r="AC52" s="91">
        <f t="shared" si="11"/>
        <v>2.4193628497062546E-4</v>
      </c>
      <c r="AD52" s="55">
        <f t="shared" si="5"/>
        <v>180935.6604338453</v>
      </c>
    </row>
    <row r="53" spans="1:30" ht="20.100000000000001" customHeight="1" x14ac:dyDescent="0.25">
      <c r="A53" s="65">
        <v>2</v>
      </c>
      <c r="B53" s="66" t="s">
        <v>35</v>
      </c>
      <c r="D53" s="67">
        <f>RAS!M53</f>
        <v>31</v>
      </c>
      <c r="E53" s="67">
        <f>RAS!Q53</f>
        <v>7</v>
      </c>
      <c r="F53" s="68">
        <f t="shared" si="8"/>
        <v>38</v>
      </c>
      <c r="H53" s="71">
        <f>(F53-1)*'AVG RAS salary'!$F$66</f>
        <v>2943681.4055415783</v>
      </c>
      <c r="I53" s="71">
        <f>(F53-1)*(VLOOKUP(B53,'FTE Allotment Factor'!$B$6:$D$63,3))</f>
        <v>2021648.2854476254</v>
      </c>
      <c r="J53" s="71">
        <f>(F53-1)*(VLOOKUP(B53,'FTE Allotment Factor'!$B$6:$H$63,7))</f>
        <v>2302710.7081808597</v>
      </c>
      <c r="K53" s="235">
        <f>VLOOKUP(A53,'CEO Salary'!$G$7:$H$13,2)</f>
        <v>218101.02419818181</v>
      </c>
      <c r="L53" s="235">
        <f>IF(N53&lt;&gt;0,N53*K53,K53)</f>
        <v>149786.44115309897</v>
      </c>
      <c r="N53" s="85">
        <f>VLOOKUP(B53,BLS!$B$5:$I$64,8, FALSE)</f>
        <v>0.68677550554275513</v>
      </c>
      <c r="O53" s="90">
        <f t="shared" si="7"/>
        <v>2452497.1493339585</v>
      </c>
      <c r="Q53" s="87">
        <f>VLOOKUP(B53,'Program 10'!$A$7:$G$64,6)</f>
        <v>0.46633999999999964</v>
      </c>
      <c r="R53" s="8">
        <f>VLOOKUP(B53,'Program 10'!$A$7:$G$64,7)</f>
        <v>26001.626843267102</v>
      </c>
      <c r="S53" s="87">
        <f>VLOOKUP(B53,'Program 90'!$A$7:$G$64,6)</f>
        <v>0.46633999999999998</v>
      </c>
      <c r="T53" s="8">
        <f>VLOOKUP(B53,'Program 90'!$A$7:$G$64,7)</f>
        <v>29016.319999999996</v>
      </c>
      <c r="U53" s="72">
        <f>(D53*VLOOKUP(B53,'FTE Allotment Factor'!$B$7:$H$64,7,FALSE)*Q53)+(D53*R53)</f>
        <v>1705759.3364992505</v>
      </c>
      <c r="V53" s="72">
        <f>((((E53-1)*VLOOKUP(B53,'FTE Allotment Factor'!$B$7:$H$64,7,FALSE))+(K53*N53))*S53)+(T53*E53)</f>
        <v>447102.85626242729</v>
      </c>
      <c r="W53" s="90">
        <f t="shared" si="9"/>
        <v>2152862.1927616778</v>
      </c>
      <c r="Y53" s="90">
        <f>F53*(VLOOKUP(A53, 'OE&amp;E by Cluster'!$B$6:$C$9,2,FALSE))</f>
        <v>910842.85863668728</v>
      </c>
      <c r="AA53" s="235">
        <f>'AB1058'!E51</f>
        <v>154505.97999999998</v>
      </c>
      <c r="AB53" s="90">
        <f t="shared" si="10"/>
        <v>5361696.2207323238</v>
      </c>
      <c r="AC53" s="91">
        <f t="shared" si="11"/>
        <v>1.7923344431863756E-3</v>
      </c>
      <c r="AD53" s="55">
        <f t="shared" si="5"/>
        <v>141097.26896664011</v>
      </c>
    </row>
    <row r="54" spans="1:30" ht="20.100000000000001" customHeight="1" x14ac:dyDescent="0.25">
      <c r="A54" s="65">
        <v>3</v>
      </c>
      <c r="B54" s="66" t="s">
        <v>48</v>
      </c>
      <c r="D54" s="67">
        <f>RAS!M54</f>
        <v>158</v>
      </c>
      <c r="E54" s="67">
        <f>RAS!Q54</f>
        <v>27</v>
      </c>
      <c r="F54" s="68">
        <f t="shared" si="8"/>
        <v>185</v>
      </c>
      <c r="H54" s="71">
        <f>(F54-1)*'AVG RAS salary'!$F$66</f>
        <v>14638848.070801362</v>
      </c>
      <c r="I54" s="71">
        <f>(F54-1)*(VLOOKUP(B54,'FTE Allotment Factor'!$B$6:$D$63,3))</f>
        <v>17408724.685424786</v>
      </c>
      <c r="J54" s="71">
        <f>(F54-1)*(VLOOKUP(B54,'FTE Allotment Factor'!$B$6:$H$63,7))</f>
        <v>17408724.685424786</v>
      </c>
      <c r="K54" s="235">
        <f>VLOOKUP(A54,'CEO Salary'!$G$7:$H$13,2)</f>
        <v>247837.75653896623</v>
      </c>
      <c r="L54" s="235">
        <f t="shared" ref="L54:L58" si="12">IF(N54&lt;&gt;0,N54*K54,K54)</f>
        <v>294732.15715968644</v>
      </c>
      <c r="N54" s="85">
        <f>VLOOKUP(B54,BLS!$B$5:$I$64,8, FALSE)</f>
        <v>1.1892141103744507</v>
      </c>
      <c r="O54" s="90">
        <f t="shared" si="7"/>
        <v>17703456.842584472</v>
      </c>
      <c r="Q54" s="87">
        <f>VLOOKUP(B54,'Program 10'!$A$7:$G$64,6)</f>
        <v>0.53517855680758708</v>
      </c>
      <c r="R54" s="8">
        <f>VLOOKUP(B54,'Program 10'!$A$7:$G$64,7)</f>
        <v>19963.833712856715</v>
      </c>
      <c r="S54" s="87">
        <f>VLOOKUP(B54,'Program 90'!$A$7:$G$64,6)</f>
        <v>0.53488984740351098</v>
      </c>
      <c r="T54" s="8">
        <f>VLOOKUP(B54,'Program 90'!$A$7:$G$64,7)</f>
        <v>21550.405599999995</v>
      </c>
      <c r="U54" s="72">
        <f>(D54*VLOOKUP(B54,'FTE Allotment Factor'!$B$7:$H$64,7,FALSE)*Q54)+(D54*R54)</f>
        <v>11154560.901495427</v>
      </c>
      <c r="V54" s="72">
        <f>((((E54-1)*VLOOKUP(B54,'FTE Allotment Factor'!$B$7:$H$64,7,FALSE))+(K54*N54))*S54)+(T54*E54)</f>
        <v>2055300.9634223543</v>
      </c>
      <c r="W54" s="90">
        <f t="shared" si="9"/>
        <v>13209861.864917781</v>
      </c>
      <c r="Y54" s="90">
        <f>F54*(VLOOKUP(A54, 'OE&amp;E by Cluster'!$B$6:$C$9,2,FALSE))</f>
        <v>4434366.5486259777</v>
      </c>
      <c r="AA54" s="235">
        <f>'AB1058'!E52</f>
        <v>749804.74</v>
      </c>
      <c r="AB54" s="90">
        <f t="shared" si="10"/>
        <v>34597880.516128227</v>
      </c>
      <c r="AC54" s="91">
        <f t="shared" si="11"/>
        <v>1.1565551339988768E-2</v>
      </c>
      <c r="AD54" s="55">
        <f t="shared" si="5"/>
        <v>187015.57035744988</v>
      </c>
    </row>
    <row r="55" spans="1:30" ht="20.100000000000001" customHeight="1" x14ac:dyDescent="0.25">
      <c r="A55" s="65">
        <v>3</v>
      </c>
      <c r="B55" s="66" t="s">
        <v>49</v>
      </c>
      <c r="D55" s="67">
        <f>RAS!M55</f>
        <v>161</v>
      </c>
      <c r="E55" s="67">
        <f>RAS!Q55</f>
        <v>27</v>
      </c>
      <c r="F55" s="68">
        <f t="shared" si="8"/>
        <v>188</v>
      </c>
      <c r="H55" s="71">
        <f>(F55-1)*'AVG RAS salary'!$F$66</f>
        <v>14877524.94152095</v>
      </c>
      <c r="I55" s="71">
        <f>(F55-1)*(VLOOKUP(B55,'FTE Allotment Factor'!$B$6:$D$63,3))</f>
        <v>17787815.830106251</v>
      </c>
      <c r="J55" s="71">
        <f>(F55-1)*(VLOOKUP(B55,'FTE Allotment Factor'!$B$6:$H$63,7))</f>
        <v>17787815.830106251</v>
      </c>
      <c r="K55" s="235">
        <f>VLOOKUP(A55,'CEO Salary'!$G$7:$H$13,2)</f>
        <v>247837.75653896623</v>
      </c>
      <c r="L55" s="235">
        <f t="shared" si="12"/>
        <v>296318.93654289219</v>
      </c>
      <c r="N55" s="85">
        <f>VLOOKUP(B55,BLS!$B$5:$I$64,8, FALSE)</f>
        <v>1.195616602897644</v>
      </c>
      <c r="O55" s="90">
        <f t="shared" si="7"/>
        <v>18084134.766649142</v>
      </c>
      <c r="Q55" s="87">
        <f>VLOOKUP(B55,'Program 10'!$A$7:$G$64,6)</f>
        <v>0.42819625719517729</v>
      </c>
      <c r="R55" s="8">
        <f>VLOOKUP(B55,'Program 10'!$A$7:$G$64,7)</f>
        <v>23447.761180844911</v>
      </c>
      <c r="S55" s="87">
        <f>VLOOKUP(B55,'Program 90'!$A$7:$G$64,6)</f>
        <v>0.42733578266997085</v>
      </c>
      <c r="T55" s="8">
        <f>VLOOKUP(B55,'Program 90'!$A$7:$G$64,7)</f>
        <v>22287.823555555555</v>
      </c>
      <c r="U55" s="72">
        <f>(D55*VLOOKUP(B55,'FTE Allotment Factor'!$B$7:$H$64,7,FALSE)*Q55)+(D55*R55)</f>
        <v>10332762.6094888</v>
      </c>
      <c r="V55" s="72">
        <f>((((E55-1)*VLOOKUP(B55,'FTE Allotment Factor'!$B$7:$H$64,7,FALSE))+(K55*N55))*S55)+(T55*E55)</f>
        <v>1785273.9217019372</v>
      </c>
      <c r="W55" s="90">
        <f t="shared" si="9"/>
        <v>12118036.531190738</v>
      </c>
      <c r="Y55" s="90">
        <f>F55*(VLOOKUP(A55, 'OE&amp;E by Cluster'!$B$6:$C$9,2,FALSE))</f>
        <v>4506275.1953604529</v>
      </c>
      <c r="AA55" s="235">
        <f>'AB1058'!E53</f>
        <v>285329.33999999997</v>
      </c>
      <c r="AB55" s="90">
        <f t="shared" si="10"/>
        <v>34423117.153200328</v>
      </c>
      <c r="AC55" s="91">
        <f t="shared" si="11"/>
        <v>1.1507130575013021E-2</v>
      </c>
      <c r="AD55" s="55">
        <f t="shared" si="5"/>
        <v>183101.68698510813</v>
      </c>
    </row>
    <row r="56" spans="1:30" ht="20.100000000000001" customHeight="1" x14ac:dyDescent="0.25">
      <c r="A56" s="65">
        <v>3</v>
      </c>
      <c r="B56" s="66" t="s">
        <v>50</v>
      </c>
      <c r="D56" s="67">
        <f>RAS!M56</f>
        <v>240</v>
      </c>
      <c r="E56" s="67">
        <f>RAS!Q56</f>
        <v>40</v>
      </c>
      <c r="F56" s="68">
        <f t="shared" si="8"/>
        <v>280</v>
      </c>
      <c r="H56" s="71">
        <f>(F56-1)*'AVG RAS salary'!$F$66</f>
        <v>22196948.976921633</v>
      </c>
      <c r="I56" s="71">
        <f>(F56-1)*(VLOOKUP(B56,'FTE Allotment Factor'!$B$6:$D$63,3))</f>
        <v>22855439.841872271</v>
      </c>
      <c r="J56" s="71">
        <f>(F56-1)*(VLOOKUP(B56,'FTE Allotment Factor'!$B$6:$H$63,7))</f>
        <v>22855439.841872271</v>
      </c>
      <c r="K56" s="235">
        <f>VLOOKUP(A56,'CEO Salary'!$G$7:$H$13,2)</f>
        <v>247837.75653896623</v>
      </c>
      <c r="L56" s="235">
        <f t="shared" si="12"/>
        <v>255190.06873468505</v>
      </c>
      <c r="N56" s="85">
        <f>VLOOKUP(B56,BLS!$B$5:$I$64,8, FALSE)</f>
        <v>1.0296658277511597</v>
      </c>
      <c r="O56" s="90">
        <f t="shared" si="7"/>
        <v>23110629.910606958</v>
      </c>
      <c r="Q56" s="87">
        <f>VLOOKUP(B56,'Program 10'!$A$7:$G$64,6)</f>
        <v>0.36661951461796188</v>
      </c>
      <c r="R56" s="8">
        <f>VLOOKUP(B56,'Program 10'!$A$7:$G$64,7)</f>
        <v>20723.082599333433</v>
      </c>
      <c r="S56" s="87">
        <f>VLOOKUP(B56,'Program 90'!$A$7:$G$64,6)</f>
        <v>0.36382843107151197</v>
      </c>
      <c r="T56" s="8">
        <f>VLOOKUP(B56,'Program 90'!$A$7:$G$64,7)</f>
        <v>21008.787553865641</v>
      </c>
      <c r="U56" s="72">
        <f>(D56*VLOOKUP(B56,'FTE Allotment Factor'!$B$7:$H$64,7,FALSE)*Q56)+(D56*R56)</f>
        <v>12181497.037781734</v>
      </c>
      <c r="V56" s="72">
        <f>((((E56-1)*VLOOKUP(B56,'FTE Allotment Factor'!$B$7:$H$64,7,FALSE))+(K56*N56))*S56)+(T56*E56)</f>
        <v>2095572.8684500884</v>
      </c>
      <c r="W56" s="90">
        <f t="shared" si="9"/>
        <v>14277069.906231822</v>
      </c>
      <c r="Y56" s="90">
        <f>F56*(VLOOKUP(A56, 'OE&amp;E by Cluster'!$B$6:$C$9,2,FALSE))</f>
        <v>6711473.6952176951</v>
      </c>
      <c r="AA56" s="235">
        <f>'AB1058'!E54</f>
        <v>1228874.08</v>
      </c>
      <c r="AB56" s="90">
        <f t="shared" si="10"/>
        <v>42870299.432056472</v>
      </c>
      <c r="AC56" s="91">
        <f t="shared" si="11"/>
        <v>1.4330896622728333E-2</v>
      </c>
      <c r="AD56" s="55">
        <f t="shared" si="5"/>
        <v>153108.21225734454</v>
      </c>
    </row>
    <row r="57" spans="1:30" ht="20.100000000000001" customHeight="1" x14ac:dyDescent="0.25">
      <c r="A57" s="65">
        <v>2</v>
      </c>
      <c r="B57" s="66" t="s">
        <v>36</v>
      </c>
      <c r="D57" s="67">
        <f>RAS!M57</f>
        <v>54</v>
      </c>
      <c r="E57" s="67">
        <f>RAS!Q57</f>
        <v>12</v>
      </c>
      <c r="F57" s="68">
        <f t="shared" si="8"/>
        <v>66</v>
      </c>
      <c r="H57" s="71">
        <f>(F57-1)*'AVG RAS salary'!$F$66</f>
        <v>5171332.1989243943</v>
      </c>
      <c r="I57" s="71">
        <f>(F57-1)*(VLOOKUP(B57,'FTE Allotment Factor'!$B$6:$D$63,3))</f>
        <v>4874951.8226318341</v>
      </c>
      <c r="J57" s="71">
        <f>(F57-1)*(VLOOKUP(B57,'FTE Allotment Factor'!$B$6:$H$63,7))</f>
        <v>4874951.8226318341</v>
      </c>
      <c r="K57" s="235">
        <f>VLOOKUP(A57,'CEO Salary'!$G$7:$H$13,2)</f>
        <v>218101.02419818181</v>
      </c>
      <c r="L57" s="235">
        <f t="shared" si="12"/>
        <v>205601.17674396202</v>
      </c>
      <c r="N57" s="85">
        <f>VLOOKUP(B57,BLS!$B$5:$I$64,8, FALSE)</f>
        <v>0.94268780946731567</v>
      </c>
      <c r="O57" s="90">
        <f t="shared" si="7"/>
        <v>5080552.9993757959</v>
      </c>
      <c r="Q57" s="87">
        <f>VLOOKUP(B57,'Program 10'!$A$7:$G$64,6)</f>
        <v>0.45526058208753889</v>
      </c>
      <c r="R57" s="8">
        <f>VLOOKUP(B57,'Program 10'!$A$7:$G$64,7)</f>
        <v>27573.45081632652</v>
      </c>
      <c r="S57" s="87">
        <f>VLOOKUP(B57,'Program 90'!$A$7:$G$64,6)</f>
        <v>0.46993590250886536</v>
      </c>
      <c r="T57" s="8">
        <f>VLOOKUP(B57,'Program 90'!$A$7:$G$64,7)</f>
        <v>27247.386666666669</v>
      </c>
      <c r="U57" s="72">
        <f>(D57*VLOOKUP(B57,'FTE Allotment Factor'!$B$7:$H$64,7,FALSE)*Q57)+(D57*R57)</f>
        <v>3332753.4800613886</v>
      </c>
      <c r="V57" s="72">
        <f>((((E57-1)*VLOOKUP(B57,'FTE Allotment Factor'!$B$7:$H$64,7,FALSE))+(K57*N57))*S57)+(T57*E57)</f>
        <v>811281.3026887204</v>
      </c>
      <c r="W57" s="90">
        <f t="shared" si="9"/>
        <v>4144034.7827501092</v>
      </c>
      <c r="Y57" s="90">
        <f>F57*(VLOOKUP(A57, 'OE&amp;E by Cluster'!$B$6:$C$9,2,FALSE))</f>
        <v>1581990.2281584567</v>
      </c>
      <c r="AA57" s="235">
        <f>'AB1058'!E55</f>
        <v>263567.48</v>
      </c>
      <c r="AB57" s="90">
        <f t="shared" si="10"/>
        <v>10543010.530284362</v>
      </c>
      <c r="AC57" s="91">
        <f t="shared" si="11"/>
        <v>3.5243699251809413E-3</v>
      </c>
      <c r="AD57" s="55">
        <f t="shared" si="5"/>
        <v>159742.5837921873</v>
      </c>
    </row>
    <row r="58" spans="1:30" ht="20.100000000000001" customHeight="1" x14ac:dyDescent="0.25">
      <c r="A58" s="65">
        <v>2</v>
      </c>
      <c r="B58" s="66" t="s">
        <v>37</v>
      </c>
      <c r="D58" s="67">
        <f>RAS!M58</f>
        <v>43</v>
      </c>
      <c r="E58" s="67">
        <f>RAS!Q58</f>
        <v>10</v>
      </c>
      <c r="F58" s="68">
        <f t="shared" si="8"/>
        <v>53</v>
      </c>
      <c r="H58" s="71">
        <f>(F58-1)*'AVG RAS salary'!$F$66</f>
        <v>4137065.7591395155</v>
      </c>
      <c r="I58" s="71">
        <f>(F58-1)*(VLOOKUP(B58,'FTE Allotment Factor'!$B$6:$D$63,3))</f>
        <v>3153031.5824862882</v>
      </c>
      <c r="J58" s="71">
        <f>(F58-1)*(VLOOKUP(B58,'FTE Allotment Factor'!$B$6:$H$63,7))</f>
        <v>3153031.5824862882</v>
      </c>
      <c r="K58" s="235">
        <f>VLOOKUP(A58,'CEO Salary'!$G$7:$H$13,2)</f>
        <v>218101.02419818181</v>
      </c>
      <c r="L58" s="235">
        <f t="shared" si="12"/>
        <v>166223.95134770748</v>
      </c>
      <c r="N58" s="85">
        <f>VLOOKUP(B58,BLS!$B$5:$I$64,8, FALSE)</f>
        <v>0.76214200258255005</v>
      </c>
      <c r="O58" s="90">
        <f t="shared" si="7"/>
        <v>3319255.5338339955</v>
      </c>
      <c r="Q58" s="87">
        <f>VLOOKUP(B58,'Program 10'!$A$7:$G$64,6)</f>
        <v>0.40274751212223814</v>
      </c>
      <c r="R58" s="8">
        <f>VLOOKUP(B58,'Program 10'!$A$7:$G$64,7)</f>
        <v>23903.658056426331</v>
      </c>
      <c r="S58" s="87">
        <f>VLOOKUP(B58,'Program 90'!$A$7:$G$64,6)</f>
        <v>0.41109999999999991</v>
      </c>
      <c r="T58" s="8">
        <f>VLOOKUP(B58,'Program 90'!$A$7:$G$64,7)</f>
        <v>26208.52</v>
      </c>
      <c r="U58" s="72">
        <f>(D58*VLOOKUP(B58,'FTE Allotment Factor'!$B$7:$H$64,7,FALSE)*Q58)+(D58*R58)</f>
        <v>2077946.755965475</v>
      </c>
      <c r="V58" s="72">
        <f>((((E58-1)*VLOOKUP(B58,'FTE Allotment Factor'!$B$7:$H$64,7,FALSE))+(K58*N58))*S58)+(T58*E58)</f>
        <v>554764.12701521593</v>
      </c>
      <c r="W58" s="90">
        <f t="shared" si="9"/>
        <v>2632710.8829806908</v>
      </c>
      <c r="Y58" s="90">
        <f>F58*(VLOOKUP(A58, 'OE&amp;E by Cluster'!$B$6:$C$9,2,FALSE))</f>
        <v>1270386.0923090638</v>
      </c>
      <c r="AA58" s="235">
        <f>'AB1058'!E56</f>
        <v>150013.61000000002</v>
      </c>
      <c r="AB58" s="90">
        <f t="shared" si="10"/>
        <v>7072338.8991237497</v>
      </c>
      <c r="AC58" s="91">
        <f t="shared" si="11"/>
        <v>2.3641765741541708E-3</v>
      </c>
      <c r="AD58" s="55">
        <f t="shared" si="5"/>
        <v>133440.35658724056</v>
      </c>
    </row>
    <row r="59" spans="1:30" ht="20.100000000000001" customHeight="1" x14ac:dyDescent="0.25">
      <c r="A59" s="65">
        <v>1</v>
      </c>
      <c r="B59" s="66" t="s">
        <v>18</v>
      </c>
      <c r="D59" s="67">
        <f>RAS!M59</f>
        <v>11</v>
      </c>
      <c r="E59" s="67">
        <f>RAS!Q59</f>
        <v>5</v>
      </c>
      <c r="F59" s="68">
        <f t="shared" si="8"/>
        <v>16</v>
      </c>
      <c r="H59" s="71">
        <f>(F59-1)*'AVG RAS salary'!$F$66</f>
        <v>1193384.3535979372</v>
      </c>
      <c r="I59" s="71">
        <f>(F59-1)*(VLOOKUP(B59,'FTE Allotment Factor'!$B$6:$D$63,3))</f>
        <v>892485.86253759696</v>
      </c>
      <c r="J59" s="71">
        <f>(F59-1)*(VLOOKUP(B59,'FTE Allotment Factor'!$B$6:$H$63,7))</f>
        <v>933531.36818142969</v>
      </c>
      <c r="K59" s="235">
        <f>VLOOKUP(A59,'CEO Salary'!$G$7:$H$13,2)</f>
        <v>157919.41593777778</v>
      </c>
      <c r="L59" s="235">
        <f>IF(N59&lt;&gt;0,N59*K59,K59)</f>
        <v>118101.80493798018</v>
      </c>
      <c r="N59" s="85">
        <f>VLOOKUP(B59,BLS!$B$5:$I$64,8, FALSE)</f>
        <v>0.74786120653152466</v>
      </c>
      <c r="O59" s="90">
        <f t="shared" si="7"/>
        <v>1051633.1731194099</v>
      </c>
      <c r="Q59" s="87">
        <f>VLOOKUP(B59,'Program 10'!$A$7:$G$64,6)</f>
        <v>0.46564831106374743</v>
      </c>
      <c r="R59" s="8">
        <f>VLOOKUP(B59,'Program 10'!$A$7:$G$64,7)</f>
        <v>11546.358974358973</v>
      </c>
      <c r="S59" s="87">
        <f>VLOOKUP(B59,'Program 90'!$A$7:$G$64,6)</f>
        <v>0.39603324537541224</v>
      </c>
      <c r="T59" s="8">
        <f>VLOOKUP(B59,'Program 90'!$A$7:$G$64,7)</f>
        <v>6727.7777777777774</v>
      </c>
      <c r="U59" s="72">
        <f>(D59*VLOOKUP(B59,'FTE Allotment Factor'!$B$7:$H$64,7,FALSE)*Q59)+(D59*R59)</f>
        <v>445787.97232500423</v>
      </c>
      <c r="V59" s="72">
        <f>((((E59-1)*VLOOKUP(B59,'FTE Allotment Factor'!$B$7:$H$64,7,FALSE))+(K59*N59))*S59)+(T59*E59)</f>
        <v>179000.31862334185</v>
      </c>
      <c r="W59" s="90">
        <f t="shared" si="9"/>
        <v>624788.29094834602</v>
      </c>
      <c r="Y59" s="90">
        <f>F59*(VLOOKUP(A59, 'OE&amp;E by Cluster'!$B$6:$C$9,2,FALSE))</f>
        <v>714222.03911899403</v>
      </c>
      <c r="AA59" s="235">
        <f>'AB1058'!E57</f>
        <v>0</v>
      </c>
      <c r="AB59" s="90">
        <f t="shared" si="10"/>
        <v>2390643.5031867502</v>
      </c>
      <c r="AC59" s="91">
        <f t="shared" si="11"/>
        <v>7.9915618411445716E-4</v>
      </c>
      <c r="AD59" s="55">
        <f t="shared" si="5"/>
        <v>149415.21894917189</v>
      </c>
    </row>
    <row r="60" spans="1:30" ht="20.100000000000001" customHeight="1" x14ac:dyDescent="0.25">
      <c r="A60" s="65">
        <v>3</v>
      </c>
      <c r="B60" s="66" t="s">
        <v>51</v>
      </c>
      <c r="D60" s="67">
        <f>RAS!M60</f>
        <v>232</v>
      </c>
      <c r="E60" s="67">
        <f>RAS!Q60</f>
        <v>40</v>
      </c>
      <c r="F60" s="68">
        <f t="shared" si="8"/>
        <v>272</v>
      </c>
      <c r="H60" s="71">
        <f>(F60-1)*'AVG RAS salary'!$F$66</f>
        <v>21560477.3216694</v>
      </c>
      <c r="I60" s="71">
        <f>(F60-1)*(VLOOKUP(B60,'FTE Allotment Factor'!$B$6:$D$63,3))</f>
        <v>21017953.711819712</v>
      </c>
      <c r="J60" s="71">
        <f>(F60-1)*(VLOOKUP(B60,'FTE Allotment Factor'!$B$6:$H$63,7))</f>
        <v>21017953.711819712</v>
      </c>
      <c r="K60" s="235">
        <f>VLOOKUP(A60,'CEO Salary'!$G$7:$H$13,2)</f>
        <v>247837.75653896623</v>
      </c>
      <c r="L60" s="235">
        <f t="shared" ref="L60:L64" si="13">IF(N60&lt;&gt;0,N60*K60,K60)</f>
        <v>241601.44588922794</v>
      </c>
      <c r="N60" s="85">
        <f>VLOOKUP(B60,BLS!$B$5:$I$64,8, FALSE)</f>
        <v>0.97483712434768677</v>
      </c>
      <c r="O60" s="90">
        <f t="shared" si="7"/>
        <v>21259555.157708939</v>
      </c>
      <c r="Q60" s="87">
        <f>VLOOKUP(B60,'Program 10'!$A$7:$G$64,6)</f>
        <v>0.30820594963765013</v>
      </c>
      <c r="R60" s="8">
        <f>VLOOKUP(B60,'Program 10'!$A$7:$G$64,7)</f>
        <v>35143.404928910029</v>
      </c>
      <c r="S60" s="87">
        <f>VLOOKUP(B60,'Program 90'!$A$7:$G$64,6)</f>
        <v>0.3128883451548618</v>
      </c>
      <c r="T60" s="8">
        <f>VLOOKUP(B60,'Program 90'!$A$7:$G$64,7)</f>
        <v>38259.823697479005</v>
      </c>
      <c r="U60" s="72">
        <f>(D60*VLOOKUP(B60,'FTE Allotment Factor'!$B$7:$H$64,7,FALSE)*Q60)+(D60*R60)</f>
        <v>13698890.404394373</v>
      </c>
      <c r="V60" s="72">
        <f>((((E60-1)*VLOOKUP(B60,'FTE Allotment Factor'!$B$7:$H$64,7,FALSE))+(K60*N60))*S60)+(T60*E60)</f>
        <v>2552388.1007335531</v>
      </c>
      <c r="W60" s="90">
        <f t="shared" si="9"/>
        <v>16251278.505127925</v>
      </c>
      <c r="Y60" s="90">
        <f>F60*(VLOOKUP(A60, 'OE&amp;E by Cluster'!$B$6:$C$9,2,FALSE))</f>
        <v>6519717.303925761</v>
      </c>
      <c r="AA60" s="235">
        <f>'AB1058'!E58</f>
        <v>946629.90999999992</v>
      </c>
      <c r="AB60" s="90">
        <f t="shared" si="10"/>
        <v>43083921.056762628</v>
      </c>
      <c r="AC60" s="91">
        <f t="shared" si="11"/>
        <v>1.4402307120452873E-2</v>
      </c>
      <c r="AD60" s="55">
        <f t="shared" si="5"/>
        <v>158396.76859103909</v>
      </c>
    </row>
    <row r="61" spans="1:30" ht="20.100000000000001" customHeight="1" x14ac:dyDescent="0.25">
      <c r="A61" s="65">
        <v>2</v>
      </c>
      <c r="B61" s="66" t="s">
        <v>38</v>
      </c>
      <c r="D61" s="67">
        <f>RAS!M61</f>
        <v>33</v>
      </c>
      <c r="E61" s="67">
        <f>RAS!Q61</f>
        <v>7</v>
      </c>
      <c r="F61" s="68">
        <f t="shared" si="8"/>
        <v>40</v>
      </c>
      <c r="H61" s="71">
        <f>(F61-1)*'AVG RAS salary'!$F$66</f>
        <v>3102799.3193546366</v>
      </c>
      <c r="I61" s="71">
        <f>(F61-1)*(VLOOKUP(B61,'FTE Allotment Factor'!$B$6:$D$63,3))</f>
        <v>2572165.5114158844</v>
      </c>
      <c r="J61" s="71">
        <f>(F61-1)*(VLOOKUP(B61,'FTE Allotment Factor'!$B$6:$H$63,7))</f>
        <v>2572165.5114158844</v>
      </c>
      <c r="K61" s="235">
        <f>VLOOKUP(A61,'CEO Salary'!$G$7:$H$13,2)</f>
        <v>218101.02419818181</v>
      </c>
      <c r="L61" s="235">
        <f t="shared" si="13"/>
        <v>180801.87427774974</v>
      </c>
      <c r="N61" s="85">
        <f>VLOOKUP(B61,BLS!$B$5:$I$64,8, FALSE)</f>
        <v>0.82898223400115967</v>
      </c>
      <c r="O61" s="90">
        <f t="shared" si="7"/>
        <v>2752967.3856936339</v>
      </c>
      <c r="Q61" s="87">
        <f>VLOOKUP(B61,'Program 10'!$A$7:$G$64,6)</f>
        <v>0.3201454979353302</v>
      </c>
      <c r="R61" s="8">
        <f>VLOOKUP(B61,'Program 10'!$A$7:$G$64,7)</f>
        <v>35454.593235294116</v>
      </c>
      <c r="S61" s="87">
        <f>VLOOKUP(B61,'Program 90'!$A$7:$G$64,6)</f>
        <v>0.32772054443489296</v>
      </c>
      <c r="T61" s="8">
        <f>VLOOKUP(B61,'Program 90'!$A$7:$G$64,7)</f>
        <v>35469.594999999994</v>
      </c>
      <c r="U61" s="72">
        <f>(D61*VLOOKUP(B61,'FTE Allotment Factor'!$B$7:$H$64,7,FALSE)*Q61)+(D61*R61)</f>
        <v>1866781.5223545164</v>
      </c>
      <c r="V61" s="72">
        <f>((((E61-1)*VLOOKUP(B61,'FTE Allotment Factor'!$B$7:$H$64,7,FALSE))+(K61*N61))*S61)+(T61*E61)</f>
        <v>437224.49702359445</v>
      </c>
      <c r="W61" s="90">
        <f t="shared" si="9"/>
        <v>2304006.0193781108</v>
      </c>
      <c r="Y61" s="90">
        <f>F61*(VLOOKUP(A61, 'OE&amp;E by Cluster'!$B$6:$C$9,2,FALSE))</f>
        <v>958781.95645967079</v>
      </c>
      <c r="AA61" s="235">
        <f>'AB1058'!E59</f>
        <v>280261.37</v>
      </c>
      <c r="AB61" s="90">
        <f t="shared" si="10"/>
        <v>5735493.9915314158</v>
      </c>
      <c r="AC61" s="91">
        <f t="shared" si="11"/>
        <v>1.9172894185911537E-3</v>
      </c>
      <c r="AD61" s="55">
        <f t="shared" si="5"/>
        <v>143387.34978828538</v>
      </c>
    </row>
    <row r="62" spans="1:30" ht="20.100000000000001" customHeight="1" x14ac:dyDescent="0.25">
      <c r="A62" s="65">
        <v>3</v>
      </c>
      <c r="B62" s="66" t="s">
        <v>52</v>
      </c>
      <c r="D62" s="67">
        <f>RAS!M62</f>
        <v>258</v>
      </c>
      <c r="E62" s="67">
        <f>RAS!Q62</f>
        <v>51</v>
      </c>
      <c r="F62" s="68">
        <f t="shared" si="8"/>
        <v>309</v>
      </c>
      <c r="H62" s="71">
        <f>(F62-1)*'AVG RAS salary'!$F$66</f>
        <v>24504158.727210976</v>
      </c>
      <c r="I62" s="71">
        <f>(F62-1)*(VLOOKUP(B62,'FTE Allotment Factor'!$B$6:$D$63,3))</f>
        <v>30695581.913021915</v>
      </c>
      <c r="J62" s="71">
        <f>(F62-1)*(VLOOKUP(B62,'FTE Allotment Factor'!$B$6:$H$63,7))</f>
        <v>30695581.913021915</v>
      </c>
      <c r="K62" s="235">
        <f>VLOOKUP(A62,'CEO Salary'!$G$7:$H$13,2)</f>
        <v>247837.75653896623</v>
      </c>
      <c r="L62" s="235">
        <f t="shared" si="13"/>
        <v>310458.49162467028</v>
      </c>
      <c r="N62" s="85">
        <f>VLOOKUP(B62,BLS!$B$5:$I$64,8, FALSE)</f>
        <v>1.2526682615280151</v>
      </c>
      <c r="O62" s="90">
        <f t="shared" si="7"/>
        <v>31006040.404646587</v>
      </c>
      <c r="Q62" s="87">
        <f>VLOOKUP(B62,'Program 10'!$A$7:$G$64,6)</f>
        <v>0.25959748223213863</v>
      </c>
      <c r="R62" s="8">
        <f>VLOOKUP(B62,'Program 10'!$A$7:$G$64,7)</f>
        <v>19151.505516380097</v>
      </c>
      <c r="S62" s="87">
        <f>VLOOKUP(B62,'Program 90'!$A$7:$G$64,6)</f>
        <v>0.28078576522347998</v>
      </c>
      <c r="T62" s="8">
        <f>VLOOKUP(B62,'Program 90'!$A$7:$G$64,7)</f>
        <v>22779.556499537692</v>
      </c>
      <c r="U62" s="72">
        <f>(D62*VLOOKUP(B62,'FTE Allotment Factor'!$B$7:$H$64,7,FALSE)*Q62)+(D62*R62)</f>
        <v>11615997.226180229</v>
      </c>
      <c r="V62" s="72">
        <f>((((E62-1)*VLOOKUP(B62,'FTE Allotment Factor'!$B$7:$H$64,7,FALSE))+(K62*N62))*S62)+(T62*E62)</f>
        <v>2648098.9365569716</v>
      </c>
      <c r="W62" s="90">
        <f t="shared" si="9"/>
        <v>14264096.162737202</v>
      </c>
      <c r="Y62" s="90">
        <f>F62*(VLOOKUP(A62, 'OE&amp;E by Cluster'!$B$6:$C$9,2,FALSE))</f>
        <v>7406590.6136509562</v>
      </c>
      <c r="AA62" s="235">
        <f>'AB1058'!E60</f>
        <v>595514.07999999996</v>
      </c>
      <c r="AB62" s="90">
        <f t="shared" si="10"/>
        <v>52081213.101034746</v>
      </c>
      <c r="AC62" s="91">
        <f t="shared" si="11"/>
        <v>1.7409966592841462E-2</v>
      </c>
      <c r="AD62" s="55">
        <f t="shared" si="5"/>
        <v>168547.61521370467</v>
      </c>
    </row>
    <row r="63" spans="1:30" ht="20.100000000000001" customHeight="1" x14ac:dyDescent="0.25">
      <c r="A63" s="65">
        <v>2</v>
      </c>
      <c r="B63" s="66" t="s">
        <v>39</v>
      </c>
      <c r="D63" s="67">
        <f>RAS!M63</f>
        <v>80</v>
      </c>
      <c r="E63" s="67">
        <f>RAS!Q63</f>
        <v>19</v>
      </c>
      <c r="F63" s="68">
        <f t="shared" si="8"/>
        <v>99</v>
      </c>
      <c r="H63" s="71">
        <f>(F63-1)*'AVG RAS salary'!$F$66</f>
        <v>7796777.7768398561</v>
      </c>
      <c r="I63" s="71">
        <f>(F63-1)*(VLOOKUP(B63,'FTE Allotment Factor'!$B$6:$D$63,3))</f>
        <v>10167136.864949089</v>
      </c>
      <c r="J63" s="71">
        <f>(F63-1)*(VLOOKUP(B63,'FTE Allotment Factor'!$B$6:$H$63,7))</f>
        <v>10167136.864949089</v>
      </c>
      <c r="K63" s="235">
        <f>VLOOKUP(A63,'CEO Salary'!$G$7:$H$13,2)</f>
        <v>218101.02419818181</v>
      </c>
      <c r="L63" s="235">
        <f t="shared" si="13"/>
        <v>284407.61387292692</v>
      </c>
      <c r="N63" s="85">
        <f>VLOOKUP(B63,BLS!$B$5:$I$64,8, FALSE)</f>
        <v>1.3040177822113037</v>
      </c>
      <c r="O63" s="90">
        <f t="shared" si="7"/>
        <v>10451544.478822015</v>
      </c>
      <c r="Q63" s="87">
        <f>VLOOKUP(B63,'Program 10'!$A$7:$G$64,6)</f>
        <v>0.17920482358826473</v>
      </c>
      <c r="R63" s="8">
        <f>VLOOKUP(B63,'Program 10'!$A$7:$G$64,7)</f>
        <v>40511.892290030235</v>
      </c>
      <c r="S63" s="87">
        <f>VLOOKUP(B63,'Program 90'!$A$7:$G$64,6)</f>
        <v>0.18917914672472602</v>
      </c>
      <c r="T63" s="8">
        <f>VLOOKUP(B63,'Program 90'!$A$7:$G$64,7)</f>
        <v>53520.063125000001</v>
      </c>
      <c r="U63" s="72">
        <f>(D63*VLOOKUP(B63,'FTE Allotment Factor'!$B$7:$H$64,7,FALSE)*Q63)+(D63*R63)</f>
        <v>4728298.2960848222</v>
      </c>
      <c r="V63" s="72">
        <f>((((E63-1)*VLOOKUP(B63,'FTE Allotment Factor'!$B$7:$H$64,7,FALSE))+(K63*N63))*S63)+(T63*E63)</f>
        <v>1423964.6276752339</v>
      </c>
      <c r="W63" s="90">
        <f t="shared" si="9"/>
        <v>6152262.9237600565</v>
      </c>
      <c r="Y63" s="90">
        <f>F63*(VLOOKUP(A63, 'OE&amp;E by Cluster'!$B$6:$C$9,2,FALSE))</f>
        <v>2372985.3422376853</v>
      </c>
      <c r="AA63" s="235">
        <f>'AB1058'!E61</f>
        <v>266592.34000000003</v>
      </c>
      <c r="AB63" s="90">
        <f t="shared" si="10"/>
        <v>18710200.404819757</v>
      </c>
      <c r="AC63" s="91">
        <f t="shared" si="11"/>
        <v>6.254538721311177E-3</v>
      </c>
      <c r="AD63" s="55">
        <f t="shared" si="5"/>
        <v>188991.92328100765</v>
      </c>
    </row>
    <row r="64" spans="1:30" ht="20.100000000000001" customHeight="1" x14ac:dyDescent="0.25">
      <c r="A64" s="65">
        <v>2</v>
      </c>
      <c r="B64" s="66" t="s">
        <v>40</v>
      </c>
      <c r="D64" s="67">
        <f>RAS!M64</f>
        <v>48</v>
      </c>
      <c r="E64" s="67">
        <f>RAS!Q64</f>
        <v>11</v>
      </c>
      <c r="F64" s="68">
        <f t="shared" si="8"/>
        <v>59</v>
      </c>
      <c r="H64" s="71">
        <f>(F64-1)*'AVG RAS salary'!$F$66</f>
        <v>4614419.5005786903</v>
      </c>
      <c r="I64" s="71">
        <f>(F64-1)*(VLOOKUP(B64,'FTE Allotment Factor'!$B$6:$D$63,3))</f>
        <v>5625362.3447622564</v>
      </c>
      <c r="J64" s="71">
        <f>(F64-1)*(VLOOKUP(B64,'FTE Allotment Factor'!$B$6:$H$63,7))</f>
        <v>5625362.3447622564</v>
      </c>
      <c r="K64" s="235">
        <f>VLOOKUP(A64,'CEO Salary'!$G$7:$H$13,2)</f>
        <v>218101.02419818181</v>
      </c>
      <c r="L64" s="235">
        <f t="shared" si="13"/>
        <v>265883.34431333555</v>
      </c>
      <c r="N64" s="85">
        <f>VLOOKUP(B64,BLS!$B$5:$I$64,8, FALSE)</f>
        <v>1.2190834283828735</v>
      </c>
      <c r="O64" s="90">
        <f>J64+L64</f>
        <v>5891245.689075592</v>
      </c>
      <c r="Q64" s="87">
        <f>VLOOKUP(B64,'Program 10'!$A$7:$G$64,6)</f>
        <v>0.10810000000000002</v>
      </c>
      <c r="R64" s="8">
        <f>VLOOKUP(B64,'Program 10'!$A$7:$G$64,7)</f>
        <v>19035.745225806433</v>
      </c>
      <c r="S64" s="87">
        <f>VLOOKUP(B64,'Program 90'!$A$7:$G$64,6)</f>
        <v>0.10810000000000003</v>
      </c>
      <c r="T64" s="8">
        <f>VLOOKUP(B64,'Program 90'!$A$7:$G$64,7)</f>
        <v>23636.615000000002</v>
      </c>
      <c r="U64" s="72">
        <f>(D64*VLOOKUP(B64,'FTE Allotment Factor'!$B$7:$H$64,7,FALSE)*Q64)+(D64*R64)</f>
        <v>1416972.3248818538</v>
      </c>
      <c r="V64" s="72">
        <f>((((E64-1)*VLOOKUP(B64,'FTE Allotment Factor'!$B$7:$H$64,7,FALSE))+(K64*N64))*S64)+(T64*E64)</f>
        <v>393589.86994592682</v>
      </c>
      <c r="W64" s="90">
        <f t="shared" si="9"/>
        <v>1810562.1948277806</v>
      </c>
      <c r="Y64" s="90">
        <f>F64*(VLOOKUP(A64, 'OE&amp;E by Cluster'!$B$6:$C$9,2,FALSE))</f>
        <v>1414203.3857780143</v>
      </c>
      <c r="AA64" s="235">
        <f>'AB1058'!E62</f>
        <v>248257.65999999997</v>
      </c>
      <c r="AB64" s="90">
        <f t="shared" si="10"/>
        <v>8867753.6096813865</v>
      </c>
      <c r="AC64" s="91">
        <f t="shared" si="11"/>
        <v>2.9643567210809623E-3</v>
      </c>
      <c r="AD64" s="55">
        <f t="shared" si="5"/>
        <v>150300.90863866758</v>
      </c>
    </row>
    <row r="65" spans="1:29" ht="20.100000000000001" customHeight="1" thickBot="1" x14ac:dyDescent="0.3">
      <c r="B65" s="98" t="s">
        <v>62</v>
      </c>
      <c r="D65" s="69">
        <f>SUM(D7:D64)</f>
        <v>14206</v>
      </c>
      <c r="E65" s="69">
        <f>SUM(E7:E64)</f>
        <v>2630</v>
      </c>
      <c r="F65" s="69">
        <f>SUM(F7:F64)</f>
        <v>16836</v>
      </c>
      <c r="H65" s="99"/>
      <c r="I65" s="99"/>
      <c r="J65" s="99"/>
      <c r="K65" s="99"/>
      <c r="L65" s="77">
        <f>SUM(L7:L64)</f>
        <v>13618446.701863598</v>
      </c>
      <c r="N65" s="59"/>
      <c r="O65" s="77">
        <f>SUM(O7:O64)</f>
        <v>1635680016.0118861</v>
      </c>
      <c r="Q65" s="56"/>
      <c r="R65" s="56"/>
      <c r="S65" s="56"/>
      <c r="T65" s="56"/>
      <c r="U65" s="86">
        <f>SUM(U7:U64)</f>
        <v>835354698.82690287</v>
      </c>
      <c r="V65" s="86">
        <f>SUM(V7:V64)</f>
        <v>163625972.36033264</v>
      </c>
      <c r="W65" s="86">
        <f>SUM(W7:W64)</f>
        <v>998980671.18723547</v>
      </c>
      <c r="Y65" s="86">
        <f t="shared" ref="Y65" si="14">SUM(Y7:Y64)</f>
        <v>409194052.16350603</v>
      </c>
      <c r="AA65" s="86">
        <f>SUM(AA7:AA64)</f>
        <v>52395058.879999988</v>
      </c>
      <c r="AB65" s="86">
        <f>SUM(AB7:AB64)</f>
        <v>2991459680.4826279</v>
      </c>
      <c r="AC65" s="93">
        <f t="shared" ref="AC65" si="15">SUM(AC7:AC64)</f>
        <v>1.0000000000000004</v>
      </c>
    </row>
    <row r="66" spans="1:29" thickTop="1" x14ac:dyDescent="0.25">
      <c r="D66" s="54"/>
      <c r="E66" s="54"/>
      <c r="F66" s="54"/>
      <c r="H66" s="260"/>
      <c r="J66" s="56"/>
      <c r="K66" s="55"/>
      <c r="L66" s="157"/>
      <c r="N66" s="55"/>
      <c r="O66" s="157"/>
      <c r="Q66" s="56"/>
      <c r="R66" s="56"/>
      <c r="S66" s="56"/>
      <c r="T66" s="56"/>
      <c r="U66" s="56"/>
      <c r="V66" s="56"/>
      <c r="W66" s="55"/>
      <c r="Y66" s="55"/>
      <c r="AA66" s="55"/>
      <c r="AB66" s="158"/>
      <c r="AC66" s="60"/>
    </row>
    <row r="67" spans="1:29" ht="20.100000000000001" customHeight="1" x14ac:dyDescent="0.25">
      <c r="A67" s="53"/>
      <c r="B67" s="61" t="s">
        <v>228</v>
      </c>
      <c r="C67" s="61"/>
      <c r="D67" s="61"/>
      <c r="E67" s="61"/>
      <c r="F67" s="61"/>
      <c r="G67" s="61"/>
      <c r="H67" s="61"/>
      <c r="I67" s="61"/>
      <c r="J67" s="61"/>
      <c r="K67" s="61"/>
      <c r="L67" s="61"/>
      <c r="M67" s="61"/>
      <c r="N67" s="61"/>
      <c r="O67" s="61"/>
      <c r="P67" s="61"/>
      <c r="Q67" s="61"/>
      <c r="R67" s="61"/>
      <c r="S67" s="61"/>
      <c r="T67" s="61"/>
      <c r="U67" s="228"/>
      <c r="V67" s="61"/>
      <c r="W67" s="61"/>
      <c r="X67" s="61"/>
      <c r="Y67" s="229"/>
      <c r="Z67" s="61"/>
      <c r="AA67" s="230"/>
      <c r="AB67" s="231"/>
      <c r="AC67" s="232"/>
    </row>
    <row r="68" spans="1:29" ht="20.100000000000001" customHeight="1" x14ac:dyDescent="0.25">
      <c r="A68" s="53"/>
      <c r="B68" s="225" t="s">
        <v>229</v>
      </c>
      <c r="C68" s="225"/>
      <c r="D68" s="225"/>
      <c r="E68" s="225"/>
      <c r="F68" s="225"/>
      <c r="G68" s="225"/>
      <c r="H68" s="225"/>
      <c r="I68" s="225"/>
      <c r="J68" s="225"/>
      <c r="K68" s="225"/>
      <c r="L68" s="225"/>
      <c r="M68" s="225"/>
      <c r="N68" s="225"/>
      <c r="O68" s="225"/>
      <c r="P68" s="61"/>
      <c r="Q68" s="61"/>
      <c r="R68" s="61"/>
      <c r="S68" s="61"/>
      <c r="T68" s="61"/>
      <c r="U68" s="228"/>
      <c r="V68" s="61"/>
      <c r="W68" s="61"/>
      <c r="X68" s="61"/>
      <c r="Y68" s="229"/>
      <c r="Z68" s="61"/>
      <c r="AA68" s="230"/>
      <c r="AB68" s="259"/>
      <c r="AC68" s="232"/>
    </row>
    <row r="69" spans="1:29" ht="17.850000000000001" customHeight="1" x14ac:dyDescent="0.25">
      <c r="A69" s="53"/>
      <c r="B69" s="61" t="s">
        <v>230</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row>
    <row r="70" spans="1:29" ht="35.1" customHeight="1" x14ac:dyDescent="0.25">
      <c r="B70" s="268" t="s">
        <v>231</v>
      </c>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68"/>
      <c r="AA70" s="268"/>
      <c r="AB70" s="268"/>
      <c r="AC70" s="268"/>
    </row>
    <row r="71" spans="1:29" ht="18.600000000000001" customHeight="1" x14ac:dyDescent="0.25">
      <c r="B71" s="61" t="s">
        <v>232</v>
      </c>
      <c r="C71" s="61"/>
      <c r="D71" s="61"/>
      <c r="E71" s="61"/>
      <c r="F71" s="61"/>
      <c r="G71" s="61"/>
      <c r="H71" s="61"/>
      <c r="I71" s="61"/>
      <c r="J71" s="61"/>
      <c r="K71" s="61"/>
      <c r="L71" s="61"/>
      <c r="M71" s="61"/>
      <c r="N71" s="61"/>
      <c r="O71" s="61"/>
      <c r="P71" s="61"/>
      <c r="Q71" s="61"/>
      <c r="R71" s="61"/>
      <c r="S71" s="61"/>
      <c r="T71" s="61"/>
      <c r="U71" s="61"/>
      <c r="V71" s="61"/>
      <c r="W71" s="233"/>
      <c r="X71" s="61"/>
      <c r="Y71" s="61"/>
      <c r="Z71" s="61"/>
      <c r="AA71" s="61"/>
      <c r="AB71" s="231"/>
      <c r="AC71" s="61"/>
    </row>
    <row r="72" spans="1:29" ht="25.35" customHeight="1" x14ac:dyDescent="0.25">
      <c r="A72" s="61"/>
      <c r="B72" s="61" t="s">
        <v>233</v>
      </c>
      <c r="C72" s="253"/>
      <c r="D72" s="253"/>
      <c r="E72" s="253"/>
      <c r="F72" s="253"/>
      <c r="G72" s="253"/>
      <c r="H72" s="253"/>
      <c r="I72" s="253"/>
      <c r="J72" s="61"/>
      <c r="K72" s="234"/>
      <c r="L72" s="61"/>
      <c r="M72" s="61"/>
      <c r="N72" s="61"/>
      <c r="O72" s="61"/>
      <c r="P72" s="61"/>
      <c r="Q72" s="61"/>
      <c r="R72" s="61"/>
      <c r="S72" s="61"/>
      <c r="T72" s="61"/>
      <c r="U72" s="228"/>
      <c r="V72" s="61"/>
      <c r="W72" s="61"/>
      <c r="X72" s="61"/>
      <c r="Y72" s="229"/>
      <c r="Z72" s="61"/>
      <c r="AA72" s="230"/>
      <c r="AB72" s="231"/>
      <c r="AC72" s="232"/>
    </row>
    <row r="73" spans="1:29" ht="17.25" x14ac:dyDescent="0.25">
      <c r="B73" s="53" t="s">
        <v>234</v>
      </c>
    </row>
    <row r="74" spans="1:29" ht="17.25" x14ac:dyDescent="0.25">
      <c r="B74" s="252"/>
    </row>
  </sheetData>
  <sortState xmlns:xlrd2="http://schemas.microsoft.com/office/spreadsheetml/2017/richdata2" ref="A5:AF62">
    <sortCondition ref="B5:B62"/>
  </sortState>
  <mergeCells count="9">
    <mergeCell ref="B70:AC70"/>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tint="0.59999389629810485"/>
    <pageSetUpPr fitToPage="1"/>
  </sheetPr>
  <dimension ref="A1:J67"/>
  <sheetViews>
    <sheetView zoomScale="85" zoomScaleNormal="85" workbookViewId="0">
      <pane xSplit="2" ySplit="6" topLeftCell="C54" activePane="bottomRight" state="frozen"/>
      <selection pane="topRight" activeCell="D1" sqref="D1"/>
      <selection pane="bottomLeft" activeCell="A6" sqref="A6"/>
      <selection pane="bottomRight" sqref="A1:A1048576"/>
    </sheetView>
  </sheetViews>
  <sheetFormatPr defaultColWidth="9.42578125" defaultRowHeight="15" x14ac:dyDescent="0.25"/>
  <cols>
    <col min="1" max="1" width="8.42578125" style="1" bestFit="1" customWidth="1"/>
    <col min="2" max="8" width="15.5703125" style="1" customWidth="1"/>
    <col min="9" max="9" width="15.5703125" style="136" customWidth="1"/>
    <col min="10" max="16384" width="9.42578125" style="1"/>
  </cols>
  <sheetData>
    <row r="1" spans="1:10" ht="18.75" x14ac:dyDescent="0.3">
      <c r="A1" s="2" t="s">
        <v>177</v>
      </c>
    </row>
    <row r="2" spans="1:10" ht="15" customHeight="1" x14ac:dyDescent="0.25">
      <c r="A2" s="49" t="s">
        <v>246</v>
      </c>
    </row>
    <row r="3" spans="1:10" ht="15" customHeight="1" x14ac:dyDescent="0.25">
      <c r="A3" s="141"/>
    </row>
    <row r="4" spans="1:10" ht="15" customHeight="1" x14ac:dyDescent="0.25">
      <c r="A4" s="137"/>
      <c r="F4" s="284" t="s">
        <v>180</v>
      </c>
      <c r="G4" s="285"/>
      <c r="H4" s="285"/>
    </row>
    <row r="5" spans="1:10" ht="51" x14ac:dyDescent="0.25">
      <c r="A5" s="280" t="s">
        <v>68</v>
      </c>
      <c r="B5" s="282" t="s">
        <v>73</v>
      </c>
      <c r="C5" s="11" t="s">
        <v>72</v>
      </c>
      <c r="D5" s="11" t="s">
        <v>71</v>
      </c>
      <c r="E5" s="142" t="s">
        <v>70</v>
      </c>
      <c r="F5" s="74" t="s">
        <v>181</v>
      </c>
      <c r="G5" s="74" t="s">
        <v>182</v>
      </c>
      <c r="H5" s="74" t="s">
        <v>183</v>
      </c>
      <c r="I5" s="88" t="s">
        <v>178</v>
      </c>
    </row>
    <row r="6" spans="1:10" x14ac:dyDescent="0.25">
      <c r="A6" s="281"/>
      <c r="B6" s="283"/>
      <c r="C6" s="78" t="s">
        <v>65</v>
      </c>
      <c r="D6" s="78" t="s">
        <v>1</v>
      </c>
      <c r="E6" s="78" t="s">
        <v>66</v>
      </c>
      <c r="F6" s="78" t="s">
        <v>2</v>
      </c>
      <c r="G6" s="78" t="s">
        <v>3</v>
      </c>
      <c r="H6" s="78" t="s">
        <v>83</v>
      </c>
      <c r="I6" s="78" t="s">
        <v>114</v>
      </c>
    </row>
    <row r="7" spans="1:10" ht="15" customHeight="1" x14ac:dyDescent="0.25">
      <c r="A7" s="5">
        <v>4</v>
      </c>
      <c r="B7" s="6" t="s">
        <v>53</v>
      </c>
      <c r="C7" s="257">
        <f>_xlfn.XLOOKUP(B7,[10]Summary!$A$2:$A$59,[10]Summary!$C$2:$C$59)</f>
        <v>0.74785661697387695</v>
      </c>
      <c r="D7" s="257">
        <f>_xlfn.XLOOKUP(B7,[10]Summary!$A$2:$A$59,[10]Summary!$B$2:$B$59)</f>
        <v>0.25214338302612305</v>
      </c>
      <c r="E7" s="257" t="str">
        <f>_xlfn.XLOOKUP(B7,[10]Summary!$A$2:$A$59,[10]Summary!$D$2:$D$59)</f>
        <v>no</v>
      </c>
      <c r="F7" s="250">
        <f>_xlfn.XLOOKUP(B7,[10]Summary!$A$2:$A$59,[10]Summary!$F$2:$F$59)</f>
        <v>1.4916231632232666</v>
      </c>
      <c r="G7" s="250">
        <f>_xlfn.XLOOKUP(B7,[10]Summary!$A$2:$A$59,[10]Summary!$E$2:$E$59)</f>
        <v>1.4918348789215088</v>
      </c>
      <c r="H7" s="250">
        <f>_xlfn.XLOOKUP(B7,[10]Summary!$A$2:$A$59,[10]Summary!$G$2:$G$59)</f>
        <v>1.4917290210723877</v>
      </c>
      <c r="I7" s="250">
        <f>IF(E7="no",F7,H7)</f>
        <v>1.4916231632232666</v>
      </c>
      <c r="J7"/>
    </row>
    <row r="8" spans="1:10" ht="15" customHeight="1" x14ac:dyDescent="0.25">
      <c r="A8" s="5">
        <v>1</v>
      </c>
      <c r="B8" s="7" t="s">
        <v>4</v>
      </c>
      <c r="C8" s="257">
        <f>_xlfn.XLOOKUP(B8,[10]Summary!$A$2:$A$59,[10]Summary!$C$2:$C$59)</f>
        <v>0.92579507827758789</v>
      </c>
      <c r="D8" s="257">
        <f>_xlfn.XLOOKUP(B8,[10]Summary!$A$2:$A$59,[10]Summary!$B$2:$B$59)</f>
        <v>7.42049440741539E-2</v>
      </c>
      <c r="E8" s="257" t="str">
        <f>_xlfn.XLOOKUP(B8,[10]Summary!$A$2:$A$59,[10]Summary!$D$2:$D$59)</f>
        <v>no</v>
      </c>
      <c r="F8" s="250">
        <f>_xlfn.XLOOKUP(B8,[10]Summary!$A$2:$A$59,[10]Summary!$F$2:$F$59)</f>
        <v>0.77512019872665405</v>
      </c>
      <c r="G8" s="250">
        <f>_xlfn.XLOOKUP(B8,[10]Summary!$A$2:$A$59,[10]Summary!$E$2:$E$59)</f>
        <v>0.68242835998535156</v>
      </c>
      <c r="H8" s="250">
        <f>_xlfn.XLOOKUP(B8,[10]Summary!$A$2:$A$59,[10]Summary!$G$2:$G$59)</f>
        <v>0.7287743091583252</v>
      </c>
      <c r="I8" s="250">
        <f t="shared" ref="I8:I64" si="0">IF(E8="no",F8,H8)</f>
        <v>0.77512019872665405</v>
      </c>
      <c r="J8"/>
    </row>
    <row r="9" spans="1:10" ht="15" customHeight="1" x14ac:dyDescent="0.25">
      <c r="A9" s="5">
        <v>1</v>
      </c>
      <c r="B9" s="7" t="s">
        <v>5</v>
      </c>
      <c r="C9" s="257">
        <f>_xlfn.XLOOKUP(B9,[10]Summary!$A$2:$A$59,[10]Summary!$C$2:$C$59)</f>
        <v>0.29224309325218201</v>
      </c>
      <c r="D9" s="257">
        <f>_xlfn.XLOOKUP(B9,[10]Summary!$A$2:$A$59,[10]Summary!$B$2:$B$59)</f>
        <v>0.70775687694549561</v>
      </c>
      <c r="E9" s="257" t="str">
        <f>_xlfn.XLOOKUP(B9,[10]Summary!$A$2:$A$59,[10]Summary!$D$2:$D$59)</f>
        <v>yes</v>
      </c>
      <c r="F9" s="250">
        <f>_xlfn.XLOOKUP(B9,[10]Summary!$A$2:$A$59,[10]Summary!$F$2:$F$59)</f>
        <v>0.93760156631469727</v>
      </c>
      <c r="G9" s="250">
        <f>_xlfn.XLOOKUP(B9,[10]Summary!$A$2:$A$59,[10]Summary!$E$2:$E$59)</f>
        <v>0.97857791185379028</v>
      </c>
      <c r="H9" s="250">
        <f>_xlfn.XLOOKUP(B9,[10]Summary!$A$2:$A$59,[10]Summary!$G$2:$G$59)</f>
        <v>0.95808970928192139</v>
      </c>
      <c r="I9" s="250">
        <f t="shared" si="0"/>
        <v>0.95808970928192139</v>
      </c>
      <c r="J9"/>
    </row>
    <row r="10" spans="1:10" ht="15" customHeight="1" x14ac:dyDescent="0.25">
      <c r="A10" s="5">
        <v>2</v>
      </c>
      <c r="B10" s="6" t="s">
        <v>19</v>
      </c>
      <c r="C10" s="257">
        <f>_xlfn.XLOOKUP(B10,[10]Summary!$A$2:$A$59,[10]Summary!$C$2:$C$59)</f>
        <v>0.79384046792984009</v>
      </c>
      <c r="D10" s="257">
        <f>_xlfn.XLOOKUP(B10,[10]Summary!$A$2:$A$59,[10]Summary!$B$2:$B$59)</f>
        <v>0.20615953207015991</v>
      </c>
      <c r="E10" s="257" t="str">
        <f>_xlfn.XLOOKUP(B10,[10]Summary!$A$2:$A$59,[10]Summary!$D$2:$D$59)</f>
        <v>no</v>
      </c>
      <c r="F10" s="250">
        <f>_xlfn.XLOOKUP(B10,[10]Summary!$A$2:$A$59,[10]Summary!$F$2:$F$59)</f>
        <v>0.87273114919662476</v>
      </c>
      <c r="G10" s="250">
        <f>_xlfn.XLOOKUP(B10,[10]Summary!$A$2:$A$59,[10]Summary!$E$2:$E$59)</f>
        <v>0.91721731424331665</v>
      </c>
      <c r="H10" s="250">
        <f>_xlfn.XLOOKUP(B10,[10]Summary!$A$2:$A$59,[10]Summary!$G$2:$G$59)</f>
        <v>0.8949742317199707</v>
      </c>
      <c r="I10" s="250">
        <f t="shared" si="0"/>
        <v>0.87273114919662476</v>
      </c>
      <c r="J10"/>
    </row>
    <row r="11" spans="1:10" ht="15" customHeight="1" x14ac:dyDescent="0.25">
      <c r="A11" s="5">
        <v>1</v>
      </c>
      <c r="B11" s="7" t="s">
        <v>6</v>
      </c>
      <c r="C11" s="257">
        <f>_xlfn.XLOOKUP(B11,[10]Summary!$A$2:$A$59,[10]Summary!$C$2:$C$59)</f>
        <v>0.62396484613418579</v>
      </c>
      <c r="D11" s="257">
        <f>_xlfn.XLOOKUP(B11,[10]Summary!$A$2:$A$59,[10]Summary!$B$2:$B$59)</f>
        <v>0.37603521347045898</v>
      </c>
      <c r="E11" s="257" t="str">
        <f>_xlfn.XLOOKUP(B11,[10]Summary!$A$2:$A$59,[10]Summary!$D$2:$D$59)</f>
        <v>no</v>
      </c>
      <c r="F11" s="250">
        <f>_xlfn.XLOOKUP(B11,[10]Summary!$A$2:$A$59,[10]Summary!$F$2:$F$59)</f>
        <v>0.84809130430221558</v>
      </c>
      <c r="G11" s="250">
        <f>_xlfn.XLOOKUP(B11,[10]Summary!$A$2:$A$59,[10]Summary!$E$2:$E$59)</f>
        <v>0.78993779420852661</v>
      </c>
      <c r="H11" s="250">
        <f>_xlfn.XLOOKUP(B11,[10]Summary!$A$2:$A$59,[10]Summary!$G$2:$G$59)</f>
        <v>0.81901454925537109</v>
      </c>
      <c r="I11" s="250">
        <f t="shared" si="0"/>
        <v>0.84809130430221558</v>
      </c>
      <c r="J11"/>
    </row>
    <row r="12" spans="1:10" ht="15" customHeight="1" x14ac:dyDescent="0.25">
      <c r="A12" s="5">
        <v>1</v>
      </c>
      <c r="B12" s="7" t="s">
        <v>7</v>
      </c>
      <c r="C12" s="257">
        <f>_xlfn.XLOOKUP(B12,[10]Summary!$A$2:$A$59,[10]Summary!$C$2:$C$59)</f>
        <v>0.9499061107635498</v>
      </c>
      <c r="D12" s="257">
        <f>_xlfn.XLOOKUP(B12,[10]Summary!$A$2:$A$59,[10]Summary!$B$2:$B$59)</f>
        <v>5.009392648935318E-2</v>
      </c>
      <c r="E12" s="257" t="str">
        <f>_xlfn.XLOOKUP(B12,[10]Summary!$A$2:$A$59,[10]Summary!$D$2:$D$59)</f>
        <v>no</v>
      </c>
      <c r="F12" s="250">
        <f>_xlfn.XLOOKUP(B12,[10]Summary!$A$2:$A$59,[10]Summary!$F$2:$F$59)</f>
        <v>0.73545956611633301</v>
      </c>
      <c r="G12" s="250">
        <f>_xlfn.XLOOKUP(B12,[10]Summary!$A$2:$A$59,[10]Summary!$E$2:$E$59)</f>
        <v>0.71279019117355347</v>
      </c>
      <c r="H12" s="250">
        <f>_xlfn.XLOOKUP(B12,[10]Summary!$A$2:$A$59,[10]Summary!$G$2:$G$59)</f>
        <v>0.72412490844726563</v>
      </c>
      <c r="I12" s="250">
        <f t="shared" si="0"/>
        <v>0.73545956611633301</v>
      </c>
      <c r="J12"/>
    </row>
    <row r="13" spans="1:10" ht="15" customHeight="1" x14ac:dyDescent="0.25">
      <c r="A13" s="5">
        <v>3</v>
      </c>
      <c r="B13" s="6" t="s">
        <v>41</v>
      </c>
      <c r="C13" s="257">
        <f>_xlfn.XLOOKUP(B13,[10]Summary!$A$2:$A$59,[10]Summary!$C$2:$C$59)</f>
        <v>0.94735658168792725</v>
      </c>
      <c r="D13" s="257">
        <f>_xlfn.XLOOKUP(B13,[10]Summary!$A$2:$A$59,[10]Summary!$B$2:$B$59)</f>
        <v>5.2643410861492157E-2</v>
      </c>
      <c r="E13" s="257" t="str">
        <f>_xlfn.XLOOKUP(B13,[10]Summary!$A$2:$A$59,[10]Summary!$D$2:$D$59)</f>
        <v>no</v>
      </c>
      <c r="F13" s="250">
        <f>_xlfn.XLOOKUP(B13,[10]Summary!$A$2:$A$59,[10]Summary!$F$2:$F$59)</f>
        <v>1.3317590951919556</v>
      </c>
      <c r="G13" s="250">
        <f>_xlfn.XLOOKUP(B13,[10]Summary!$A$2:$A$59,[10]Summary!$E$2:$E$59)</f>
        <v>1.0524636507034302</v>
      </c>
      <c r="H13" s="250">
        <f>_xlfn.XLOOKUP(B13,[10]Summary!$A$2:$A$59,[10]Summary!$G$2:$G$59)</f>
        <v>1.1921113729476929</v>
      </c>
      <c r="I13" s="250">
        <f t="shared" si="0"/>
        <v>1.3317590951919556</v>
      </c>
      <c r="J13"/>
    </row>
    <row r="14" spans="1:10" ht="15" customHeight="1" x14ac:dyDescent="0.25">
      <c r="A14" s="5">
        <v>1</v>
      </c>
      <c r="B14" s="7" t="s">
        <v>8</v>
      </c>
      <c r="C14" s="257">
        <f>_xlfn.XLOOKUP(B14,[10]Summary!$A$2:$A$59,[10]Summary!$C$2:$C$59)</f>
        <v>0.35811835527420044</v>
      </c>
      <c r="D14" s="257">
        <f>_xlfn.XLOOKUP(B14,[10]Summary!$A$2:$A$59,[10]Summary!$B$2:$B$59)</f>
        <v>0.64188164472579956</v>
      </c>
      <c r="E14" s="257" t="str">
        <f>_xlfn.XLOOKUP(B14,[10]Summary!$A$2:$A$59,[10]Summary!$D$2:$D$59)</f>
        <v>yes</v>
      </c>
      <c r="F14" s="250">
        <f>_xlfn.XLOOKUP(B14,[10]Summary!$A$2:$A$59,[10]Summary!$F$2:$F$59)</f>
        <v>0.67190259695053101</v>
      </c>
      <c r="G14" s="250">
        <f>_xlfn.XLOOKUP(B14,[10]Summary!$A$2:$A$59,[10]Summary!$E$2:$E$59)</f>
        <v>0.83017390966415405</v>
      </c>
      <c r="H14" s="250">
        <f>_xlfn.XLOOKUP(B14,[10]Summary!$A$2:$A$59,[10]Summary!$G$2:$G$59)</f>
        <v>0.75103825330734253</v>
      </c>
      <c r="I14" s="250">
        <f t="shared" si="0"/>
        <v>0.75103825330734253</v>
      </c>
      <c r="J14"/>
    </row>
    <row r="15" spans="1:10" ht="15" customHeight="1" x14ac:dyDescent="0.25">
      <c r="A15" s="5">
        <v>2</v>
      </c>
      <c r="B15" s="7" t="s">
        <v>20</v>
      </c>
      <c r="C15" s="257">
        <f>_xlfn.XLOOKUP(B15,[10]Summary!$A$2:$A$59,[10]Summary!$C$2:$C$59)</f>
        <v>0.85209715366363525</v>
      </c>
      <c r="D15" s="257">
        <f>_xlfn.XLOOKUP(B15,[10]Summary!$A$2:$A$59,[10]Summary!$B$2:$B$59)</f>
        <v>0.14790287613868713</v>
      </c>
      <c r="E15" s="257" t="str">
        <f>_xlfn.XLOOKUP(B15,[10]Summary!$A$2:$A$59,[10]Summary!$D$2:$D$59)</f>
        <v>no</v>
      </c>
      <c r="F15" s="250">
        <f>_xlfn.XLOOKUP(B15,[10]Summary!$A$2:$A$59,[10]Summary!$F$2:$F$59)</f>
        <v>1.1130379438400269</v>
      </c>
      <c r="G15" s="250">
        <f>_xlfn.XLOOKUP(B15,[10]Summary!$A$2:$A$59,[10]Summary!$E$2:$E$59)</f>
        <v>0.98743605613708496</v>
      </c>
      <c r="H15" s="250">
        <f>_xlfn.XLOOKUP(B15,[10]Summary!$A$2:$A$59,[10]Summary!$G$2:$G$59)</f>
        <v>1.0502369403839111</v>
      </c>
      <c r="I15" s="250">
        <f t="shared" si="0"/>
        <v>1.1130379438400269</v>
      </c>
      <c r="J15"/>
    </row>
    <row r="16" spans="1:10" ht="15" customHeight="1" x14ac:dyDescent="0.25">
      <c r="A16" s="5">
        <v>3</v>
      </c>
      <c r="B16" s="6" t="s">
        <v>42</v>
      </c>
      <c r="C16" s="257">
        <f>_xlfn.XLOOKUP(B16,[10]Summary!$A$2:$A$59,[10]Summary!$C$2:$C$59)</f>
        <v>0.67734330892562866</v>
      </c>
      <c r="D16" s="257">
        <f>_xlfn.XLOOKUP(B16,[10]Summary!$A$2:$A$59,[10]Summary!$B$2:$B$59)</f>
        <v>0.32265663146972656</v>
      </c>
      <c r="E16" s="257" t="str">
        <f>_xlfn.XLOOKUP(B16,[10]Summary!$A$2:$A$59,[10]Summary!$D$2:$D$59)</f>
        <v>no</v>
      </c>
      <c r="F16" s="250">
        <f>_xlfn.XLOOKUP(B16,[10]Summary!$A$2:$A$59,[10]Summary!$F$2:$F$59)</f>
        <v>0.94079649448394775</v>
      </c>
      <c r="G16" s="250">
        <f>_xlfn.XLOOKUP(B16,[10]Summary!$A$2:$A$59,[10]Summary!$E$2:$E$59)</f>
        <v>1.1364377737045288</v>
      </c>
      <c r="H16" s="250">
        <f>_xlfn.XLOOKUP(B16,[10]Summary!$A$2:$A$59,[10]Summary!$G$2:$G$59)</f>
        <v>1.0386171340942383</v>
      </c>
      <c r="I16" s="250">
        <f t="shared" si="0"/>
        <v>0.94079649448394775</v>
      </c>
      <c r="J16"/>
    </row>
    <row r="17" spans="1:10" ht="15" customHeight="1" x14ac:dyDescent="0.25">
      <c r="A17" s="5">
        <v>1</v>
      </c>
      <c r="B17" s="7" t="s">
        <v>9</v>
      </c>
      <c r="C17" s="257">
        <f>_xlfn.XLOOKUP(B17,[10]Summary!$A$2:$A$59,[10]Summary!$C$2:$C$59)</f>
        <v>0.96297693252563477</v>
      </c>
      <c r="D17" s="257">
        <f>_xlfn.XLOOKUP(B17,[10]Summary!$A$2:$A$59,[10]Summary!$B$2:$B$59)</f>
        <v>3.7023045122623444E-2</v>
      </c>
      <c r="E17" s="257" t="str">
        <f>_xlfn.XLOOKUP(B17,[10]Summary!$A$2:$A$59,[10]Summary!$D$2:$D$59)</f>
        <v>no</v>
      </c>
      <c r="F17" s="250">
        <f>_xlfn.XLOOKUP(B17,[10]Summary!$A$2:$A$59,[10]Summary!$F$2:$F$59)</f>
        <v>0.76542162895202637</v>
      </c>
      <c r="G17" s="250">
        <f>_xlfn.XLOOKUP(B17,[10]Summary!$A$2:$A$59,[10]Summary!$E$2:$E$59)</f>
        <v>0.99916970729827881</v>
      </c>
      <c r="H17" s="250">
        <f>_xlfn.XLOOKUP(B17,[10]Summary!$A$2:$A$59,[10]Summary!$G$2:$G$59)</f>
        <v>0.88229566812515259</v>
      </c>
      <c r="I17" s="250">
        <f t="shared" si="0"/>
        <v>0.76542162895202637</v>
      </c>
      <c r="J17"/>
    </row>
    <row r="18" spans="1:10" ht="15" customHeight="1" x14ac:dyDescent="0.25">
      <c r="A18" s="5">
        <v>2</v>
      </c>
      <c r="B18" s="7" t="s">
        <v>21</v>
      </c>
      <c r="C18" s="257">
        <f>_xlfn.XLOOKUP(B18,[10]Summary!$A$2:$A$59,[10]Summary!$C$2:$C$59)</f>
        <v>0.73905700445175171</v>
      </c>
      <c r="D18" s="257">
        <f>_xlfn.XLOOKUP(B18,[10]Summary!$A$2:$A$59,[10]Summary!$B$2:$B$59)</f>
        <v>0.2609429657459259</v>
      </c>
      <c r="E18" s="257" t="str">
        <f>_xlfn.XLOOKUP(B18,[10]Summary!$A$2:$A$59,[10]Summary!$D$2:$D$59)</f>
        <v>no</v>
      </c>
      <c r="F18" s="250">
        <f>_xlfn.XLOOKUP(B18,[10]Summary!$A$2:$A$59,[10]Summary!$F$2:$F$59)</f>
        <v>0.74500995874404907</v>
      </c>
      <c r="G18" s="250">
        <f>_xlfn.XLOOKUP(B18,[10]Summary!$A$2:$A$59,[10]Summary!$E$2:$E$59)</f>
        <v>1.1173908710479736</v>
      </c>
      <c r="H18" s="250">
        <f>_xlfn.XLOOKUP(B18,[10]Summary!$A$2:$A$59,[10]Summary!$G$2:$G$59)</f>
        <v>0.93120038509368896</v>
      </c>
      <c r="I18" s="250">
        <f t="shared" si="0"/>
        <v>0.74500995874404907</v>
      </c>
      <c r="J18"/>
    </row>
    <row r="19" spans="1:10" ht="15" customHeight="1" x14ac:dyDescent="0.25">
      <c r="A19" s="5">
        <v>2</v>
      </c>
      <c r="B19" s="6" t="s">
        <v>22</v>
      </c>
      <c r="C19" s="257">
        <f>_xlfn.XLOOKUP(B19,[10]Summary!$A$2:$A$59,[10]Summary!$C$2:$C$59)</f>
        <v>0.51784533262252808</v>
      </c>
      <c r="D19" s="257">
        <f>_xlfn.XLOOKUP(B19,[10]Summary!$A$2:$A$59,[10]Summary!$B$2:$B$59)</f>
        <v>0.4821547269821167</v>
      </c>
      <c r="E19" s="257" t="str">
        <f>_xlfn.XLOOKUP(B19,[10]Summary!$A$2:$A$59,[10]Summary!$D$2:$D$59)</f>
        <v>no</v>
      </c>
      <c r="F19" s="250">
        <f>_xlfn.XLOOKUP(B19,[10]Summary!$A$2:$A$59,[10]Summary!$F$2:$F$59)</f>
        <v>0.7009735107421875</v>
      </c>
      <c r="G19" s="250">
        <f>_xlfn.XLOOKUP(B19,[10]Summary!$A$2:$A$59,[10]Summary!$E$2:$E$59)</f>
        <v>0.86055934429168701</v>
      </c>
      <c r="H19" s="250">
        <f>_xlfn.XLOOKUP(B19,[10]Summary!$A$2:$A$59,[10]Summary!$G$2:$G$59)</f>
        <v>0.78076642751693726</v>
      </c>
      <c r="I19" s="250">
        <f t="shared" si="0"/>
        <v>0.7009735107421875</v>
      </c>
      <c r="J19"/>
    </row>
    <row r="20" spans="1:10" ht="15" customHeight="1" x14ac:dyDescent="0.25">
      <c r="A20" s="5">
        <v>1</v>
      </c>
      <c r="B20" s="7" t="s">
        <v>10</v>
      </c>
      <c r="C20" s="257">
        <f>_xlfn.XLOOKUP(B20,[10]Summary!$A$2:$A$59,[10]Summary!$C$2:$C$59)</f>
        <v>0.67935222387313843</v>
      </c>
      <c r="D20" s="257">
        <f>_xlfn.XLOOKUP(B20,[10]Summary!$A$2:$A$59,[10]Summary!$B$2:$B$59)</f>
        <v>0.32064777612686157</v>
      </c>
      <c r="E20" s="257" t="str">
        <f>_xlfn.XLOOKUP(B20,[10]Summary!$A$2:$A$59,[10]Summary!$D$2:$D$59)</f>
        <v>no</v>
      </c>
      <c r="F20" s="250">
        <f>_xlfn.XLOOKUP(B20,[10]Summary!$A$2:$A$59,[10]Summary!$F$2:$F$59)</f>
        <v>0.78939062356948853</v>
      </c>
      <c r="G20" s="250">
        <f>_xlfn.XLOOKUP(B20,[10]Summary!$A$2:$A$59,[10]Summary!$E$2:$E$59)</f>
        <v>1.0844842195510864</v>
      </c>
      <c r="H20" s="250">
        <f>_xlfn.XLOOKUP(B20,[10]Summary!$A$2:$A$59,[10]Summary!$G$2:$G$59)</f>
        <v>0.93693745136260986</v>
      </c>
      <c r="I20" s="250">
        <f t="shared" si="0"/>
        <v>0.78939062356948853</v>
      </c>
      <c r="J20"/>
    </row>
    <row r="21" spans="1:10" ht="15" customHeight="1" x14ac:dyDescent="0.25">
      <c r="A21" s="5">
        <v>3</v>
      </c>
      <c r="B21" s="7" t="s">
        <v>43</v>
      </c>
      <c r="C21" s="257">
        <f>_xlfn.XLOOKUP(B21,[10]Summary!$A$2:$A$59,[10]Summary!$C$2:$C$59)</f>
        <v>0.57865458726882935</v>
      </c>
      <c r="D21" s="257">
        <f>_xlfn.XLOOKUP(B21,[10]Summary!$A$2:$A$59,[10]Summary!$B$2:$B$59)</f>
        <v>0.42134538292884827</v>
      </c>
      <c r="E21" s="257" t="str">
        <f>_xlfn.XLOOKUP(B21,[10]Summary!$A$2:$A$59,[10]Summary!$D$2:$D$59)</f>
        <v>no</v>
      </c>
      <c r="F21" s="250">
        <f>_xlfn.XLOOKUP(B21,[10]Summary!$A$2:$A$59,[10]Summary!$F$2:$F$59)</f>
        <v>0.9278373122215271</v>
      </c>
      <c r="G21" s="250">
        <f>_xlfn.XLOOKUP(B21,[10]Summary!$A$2:$A$59,[10]Summary!$E$2:$E$59)</f>
        <v>0.997170090675354</v>
      </c>
      <c r="H21" s="250">
        <f>_xlfn.XLOOKUP(B21,[10]Summary!$A$2:$A$59,[10]Summary!$G$2:$G$59)</f>
        <v>0.96250367164611816</v>
      </c>
      <c r="I21" s="250">
        <f t="shared" si="0"/>
        <v>0.9278373122215271</v>
      </c>
      <c r="J21"/>
    </row>
    <row r="22" spans="1:10" ht="15" customHeight="1" x14ac:dyDescent="0.25">
      <c r="A22" s="5">
        <v>2</v>
      </c>
      <c r="B22" s="6" t="s">
        <v>23</v>
      </c>
      <c r="C22" s="257">
        <f>_xlfn.XLOOKUP(B22,[10]Summary!$A$2:$A$59,[10]Summary!$C$2:$C$59)</f>
        <v>0.35278588533401489</v>
      </c>
      <c r="D22" s="257">
        <f>_xlfn.XLOOKUP(B22,[10]Summary!$A$2:$A$59,[10]Summary!$B$2:$B$59)</f>
        <v>0.64721405506134033</v>
      </c>
      <c r="E22" s="257" t="str">
        <f>_xlfn.XLOOKUP(B22,[10]Summary!$A$2:$A$59,[10]Summary!$D$2:$D$59)</f>
        <v>yes</v>
      </c>
      <c r="F22" s="250">
        <f>_xlfn.XLOOKUP(B22,[10]Summary!$A$2:$A$59,[10]Summary!$F$2:$F$59)</f>
        <v>0.8341408371925354</v>
      </c>
      <c r="G22" s="250">
        <f>_xlfn.XLOOKUP(B22,[10]Summary!$A$2:$A$59,[10]Summary!$E$2:$E$59)</f>
        <v>0.83114522695541382</v>
      </c>
      <c r="H22" s="250">
        <f>_xlfn.XLOOKUP(B22,[10]Summary!$A$2:$A$59,[10]Summary!$G$2:$G$59)</f>
        <v>0.83264303207397461</v>
      </c>
      <c r="I22" s="250">
        <f t="shared" si="0"/>
        <v>0.83264303207397461</v>
      </c>
      <c r="J22"/>
    </row>
    <row r="23" spans="1:10" ht="15" customHeight="1" x14ac:dyDescent="0.25">
      <c r="A23" s="5">
        <v>2</v>
      </c>
      <c r="B23" s="7" t="s">
        <v>24</v>
      </c>
      <c r="C23" s="257">
        <f>_xlfn.XLOOKUP(B23,[10]Summary!$A$2:$A$59,[10]Summary!$C$2:$C$59)</f>
        <v>0.94980317354202271</v>
      </c>
      <c r="D23" s="257">
        <f>_xlfn.XLOOKUP(B23,[10]Summary!$A$2:$A$59,[10]Summary!$B$2:$B$59)</f>
        <v>5.0196852535009384E-2</v>
      </c>
      <c r="E23" s="257" t="str">
        <f>_xlfn.XLOOKUP(B23,[10]Summary!$A$2:$A$59,[10]Summary!$D$2:$D$59)</f>
        <v>no</v>
      </c>
      <c r="F23" s="250">
        <f>_xlfn.XLOOKUP(B23,[10]Summary!$A$2:$A$59,[10]Summary!$F$2:$F$59)</f>
        <v>0.76537024974822998</v>
      </c>
      <c r="G23" s="250">
        <f>_xlfn.XLOOKUP(B23,[10]Summary!$A$2:$A$59,[10]Summary!$E$2:$E$59)</f>
        <v>0.82437968254089355</v>
      </c>
      <c r="H23" s="250">
        <f>_xlfn.XLOOKUP(B23,[10]Summary!$A$2:$A$59,[10]Summary!$G$2:$G$59)</f>
        <v>0.79487496614456177</v>
      </c>
      <c r="I23" s="250">
        <f t="shared" si="0"/>
        <v>0.76537024974822998</v>
      </c>
      <c r="J23"/>
    </row>
    <row r="24" spans="1:10" ht="15" customHeight="1" x14ac:dyDescent="0.25">
      <c r="A24" s="5">
        <v>1</v>
      </c>
      <c r="B24" s="7" t="s">
        <v>11</v>
      </c>
      <c r="C24" s="257">
        <f>_xlfn.XLOOKUP(B24,[10]Summary!$A$2:$A$59,[10]Summary!$C$2:$C$59)</f>
        <v>0.20413877069950104</v>
      </c>
      <c r="D24" s="257">
        <f>_xlfn.XLOOKUP(B24,[10]Summary!$A$2:$A$59,[10]Summary!$B$2:$B$59)</f>
        <v>0.79586124420166016</v>
      </c>
      <c r="E24" s="257" t="str">
        <f>_xlfn.XLOOKUP(B24,[10]Summary!$A$2:$A$59,[10]Summary!$D$2:$D$59)</f>
        <v>yes</v>
      </c>
      <c r="F24" s="250">
        <f>_xlfn.XLOOKUP(B24,[10]Summary!$A$2:$A$59,[10]Summary!$F$2:$F$59)</f>
        <v>0.70369124412536621</v>
      </c>
      <c r="G24" s="250">
        <f>_xlfn.XLOOKUP(B24,[10]Summary!$A$2:$A$59,[10]Summary!$E$2:$E$59)</f>
        <v>0.88219398260116577</v>
      </c>
      <c r="H24" s="250">
        <f>_xlfn.XLOOKUP(B24,[10]Summary!$A$2:$A$59,[10]Summary!$G$2:$G$59)</f>
        <v>0.79294264316558838</v>
      </c>
      <c r="I24" s="250">
        <f t="shared" si="0"/>
        <v>0.79294264316558838</v>
      </c>
      <c r="J24"/>
    </row>
    <row r="25" spans="1:10" ht="15" customHeight="1" x14ac:dyDescent="0.25">
      <c r="A25" s="5">
        <v>4</v>
      </c>
      <c r="B25" s="6" t="s">
        <v>54</v>
      </c>
      <c r="C25" s="257">
        <f>_xlfn.XLOOKUP(B25,[10]Summary!$A$2:$A$59,[10]Summary!$C$2:$C$59)</f>
        <v>0.90155869722366333</v>
      </c>
      <c r="D25" s="257">
        <f>_xlfn.XLOOKUP(B25,[10]Summary!$A$2:$A$59,[10]Summary!$B$2:$B$59)</f>
        <v>9.8441340029239655E-2</v>
      </c>
      <c r="E25" s="257" t="str">
        <f>_xlfn.XLOOKUP(B25,[10]Summary!$A$2:$A$59,[10]Summary!$D$2:$D$59)</f>
        <v>no</v>
      </c>
      <c r="F25" s="250">
        <f>_xlfn.XLOOKUP(B25,[10]Summary!$A$2:$A$59,[10]Summary!$F$2:$F$59)</f>
        <v>1.3697676658630371</v>
      </c>
      <c r="G25" s="250">
        <f>_xlfn.XLOOKUP(B25,[10]Summary!$A$2:$A$59,[10]Summary!$E$2:$E$59)</f>
        <v>1.2862502336502075</v>
      </c>
      <c r="H25" s="250">
        <f>_xlfn.XLOOKUP(B25,[10]Summary!$A$2:$A$59,[10]Summary!$G$2:$G$59)</f>
        <v>1.3280088901519775</v>
      </c>
      <c r="I25" s="250">
        <f t="shared" si="0"/>
        <v>1.3697676658630371</v>
      </c>
      <c r="J25"/>
    </row>
    <row r="26" spans="1:10" ht="15" customHeight="1" x14ac:dyDescent="0.25">
      <c r="A26" s="5">
        <v>2</v>
      </c>
      <c r="B26" s="7" t="s">
        <v>25</v>
      </c>
      <c r="C26" s="257">
        <f>_xlfn.XLOOKUP(B26,[10]Summary!$A$2:$A$59,[10]Summary!$C$2:$C$59)</f>
        <v>0.43789443373680115</v>
      </c>
      <c r="D26" s="257">
        <f>_xlfn.XLOOKUP(B26,[10]Summary!$A$2:$A$59,[10]Summary!$B$2:$B$59)</f>
        <v>0.56210559606552124</v>
      </c>
      <c r="E26" s="257" t="str">
        <f>_xlfn.XLOOKUP(B26,[10]Summary!$A$2:$A$59,[10]Summary!$D$2:$D$59)</f>
        <v>yes</v>
      </c>
      <c r="F26" s="250">
        <f>_xlfn.XLOOKUP(B26,[10]Summary!$A$2:$A$59,[10]Summary!$F$2:$F$59)</f>
        <v>0.82327741384506226</v>
      </c>
      <c r="G26" s="250">
        <f>_xlfn.XLOOKUP(B26,[10]Summary!$A$2:$A$59,[10]Summary!$E$2:$E$59)</f>
        <v>0.98606842756271362</v>
      </c>
      <c r="H26" s="250">
        <f>_xlfn.XLOOKUP(B26,[10]Summary!$A$2:$A$59,[10]Summary!$G$2:$G$59)</f>
        <v>0.90467292070388794</v>
      </c>
      <c r="I26" s="250">
        <f t="shared" si="0"/>
        <v>0.90467292070388794</v>
      </c>
      <c r="J26"/>
    </row>
    <row r="27" spans="1:10" ht="15" customHeight="1" x14ac:dyDescent="0.25">
      <c r="A27" s="5">
        <v>2</v>
      </c>
      <c r="B27" s="7" t="s">
        <v>26</v>
      </c>
      <c r="C27" s="257">
        <f>_xlfn.XLOOKUP(B27,[10]Summary!$A$2:$A$59,[10]Summary!$C$2:$C$59)</f>
        <v>0.67347055673599243</v>
      </c>
      <c r="D27" s="257">
        <f>_xlfn.XLOOKUP(B27,[10]Summary!$A$2:$A$59,[10]Summary!$B$2:$B$59)</f>
        <v>0.32652944326400757</v>
      </c>
      <c r="E27" s="257" t="str">
        <f>_xlfn.XLOOKUP(B27,[10]Summary!$A$2:$A$59,[10]Summary!$D$2:$D$59)</f>
        <v>no</v>
      </c>
      <c r="F27" s="250">
        <f>_xlfn.XLOOKUP(B27,[10]Summary!$A$2:$A$59,[10]Summary!$F$2:$F$59)</f>
        <v>1.2172629833221436</v>
      </c>
      <c r="G27" s="250">
        <f>_xlfn.XLOOKUP(B27,[10]Summary!$A$2:$A$59,[10]Summary!$E$2:$E$59)</f>
        <v>0.9384581446647644</v>
      </c>
      <c r="H27" s="250">
        <f>_xlfn.XLOOKUP(B27,[10]Summary!$A$2:$A$59,[10]Summary!$G$2:$G$59)</f>
        <v>1.0778605937957764</v>
      </c>
      <c r="I27" s="250">
        <f t="shared" si="0"/>
        <v>1.2172629833221436</v>
      </c>
      <c r="J27"/>
    </row>
    <row r="28" spans="1:10" ht="15" customHeight="1" x14ac:dyDescent="0.25">
      <c r="A28" s="5">
        <v>1</v>
      </c>
      <c r="B28" s="6" t="s">
        <v>12</v>
      </c>
      <c r="C28" s="257">
        <f>_xlfn.XLOOKUP(B28,[10]Summary!$A$2:$A$59,[10]Summary!$C$2:$C$59)</f>
        <v>0.46509167551994324</v>
      </c>
      <c r="D28" s="257">
        <f>_xlfn.XLOOKUP(B28,[10]Summary!$A$2:$A$59,[10]Summary!$B$2:$B$59)</f>
        <v>0.53490829467773438</v>
      </c>
      <c r="E28" s="257" t="str">
        <f>_xlfn.XLOOKUP(B28,[10]Summary!$A$2:$A$59,[10]Summary!$D$2:$D$59)</f>
        <v>yes</v>
      </c>
      <c r="F28" s="250">
        <f>_xlfn.XLOOKUP(B28,[10]Summary!$A$2:$A$59,[10]Summary!$F$2:$F$59)</f>
        <v>0.8914075493812561</v>
      </c>
      <c r="G28" s="250">
        <f>_xlfn.XLOOKUP(B28,[10]Summary!$A$2:$A$59,[10]Summary!$E$2:$E$59)</f>
        <v>0.771137535572052</v>
      </c>
      <c r="H28" s="250">
        <f>_xlfn.XLOOKUP(B28,[10]Summary!$A$2:$A$59,[10]Summary!$G$2:$G$59)</f>
        <v>0.83127254247665405</v>
      </c>
      <c r="I28" s="250">
        <f t="shared" si="0"/>
        <v>0.83127254247665405</v>
      </c>
      <c r="J28"/>
    </row>
    <row r="29" spans="1:10" ht="15" customHeight="1" x14ac:dyDescent="0.25">
      <c r="A29" s="5">
        <v>2</v>
      </c>
      <c r="B29" s="7" t="s">
        <v>27</v>
      </c>
      <c r="C29" s="257">
        <f>_xlfn.XLOOKUP(B29,[10]Summary!$A$2:$A$59,[10]Summary!$C$2:$C$59)</f>
        <v>0.80798405408859253</v>
      </c>
      <c r="D29" s="257">
        <f>_xlfn.XLOOKUP(B29,[10]Summary!$A$2:$A$59,[10]Summary!$B$2:$B$59)</f>
        <v>0.19201591610908508</v>
      </c>
      <c r="E29" s="257" t="str">
        <f>_xlfn.XLOOKUP(B29,[10]Summary!$A$2:$A$59,[10]Summary!$D$2:$D$59)</f>
        <v>no</v>
      </c>
      <c r="F29" s="250">
        <f>_xlfn.XLOOKUP(B29,[10]Summary!$A$2:$A$59,[10]Summary!$F$2:$F$59)</f>
        <v>0.7827717661857605</v>
      </c>
      <c r="G29" s="250">
        <f>_xlfn.XLOOKUP(B29,[10]Summary!$A$2:$A$59,[10]Summary!$E$2:$E$59)</f>
        <v>0.78409993648529053</v>
      </c>
      <c r="H29" s="250">
        <f>_xlfn.XLOOKUP(B29,[10]Summary!$A$2:$A$59,[10]Summary!$G$2:$G$59)</f>
        <v>0.78343582153320313</v>
      </c>
      <c r="I29" s="250">
        <f t="shared" si="0"/>
        <v>0.7827717661857605</v>
      </c>
      <c r="J29"/>
    </row>
    <row r="30" spans="1:10" ht="15" customHeight="1" x14ac:dyDescent="0.25">
      <c r="A30" s="5">
        <v>2</v>
      </c>
      <c r="B30" s="7" t="s">
        <v>28</v>
      </c>
      <c r="C30" s="257">
        <f>_xlfn.XLOOKUP(B30,[10]Summary!$A$2:$A$59,[10]Summary!$C$2:$C$59)</f>
        <v>0.89466524124145508</v>
      </c>
      <c r="D30" s="257">
        <f>_xlfn.XLOOKUP(B30,[10]Summary!$A$2:$A$59,[10]Summary!$B$2:$B$59)</f>
        <v>0.10533478856086731</v>
      </c>
      <c r="E30" s="257" t="str">
        <f>_xlfn.XLOOKUP(B30,[10]Summary!$A$2:$A$59,[10]Summary!$D$2:$D$59)</f>
        <v>no</v>
      </c>
      <c r="F30" s="250">
        <f>_xlfn.XLOOKUP(B30,[10]Summary!$A$2:$A$59,[10]Summary!$F$2:$F$59)</f>
        <v>0.78807282447814941</v>
      </c>
      <c r="G30" s="250">
        <f>_xlfn.XLOOKUP(B30,[10]Summary!$A$2:$A$59,[10]Summary!$E$2:$E$59)</f>
        <v>0.97975695133209229</v>
      </c>
      <c r="H30" s="250">
        <f>_xlfn.XLOOKUP(B30,[10]Summary!$A$2:$A$59,[10]Summary!$G$2:$G$59)</f>
        <v>0.88391488790512085</v>
      </c>
      <c r="I30" s="250">
        <f t="shared" si="0"/>
        <v>0.78807282447814941</v>
      </c>
      <c r="J30"/>
    </row>
    <row r="31" spans="1:10" ht="15" customHeight="1" x14ac:dyDescent="0.25">
      <c r="A31" s="5">
        <v>1</v>
      </c>
      <c r="B31" s="6" t="s">
        <v>13</v>
      </c>
      <c r="C31" s="257">
        <f>_xlfn.XLOOKUP(B31,[10]Summary!$A$2:$A$59,[10]Summary!$C$2:$C$59)</f>
        <v>0.87190532684326172</v>
      </c>
      <c r="D31" s="257">
        <f>_xlfn.XLOOKUP(B31,[10]Summary!$A$2:$A$59,[10]Summary!$B$2:$B$59)</f>
        <v>0.12809473276138306</v>
      </c>
      <c r="E31" s="257" t="str">
        <f>_xlfn.XLOOKUP(B31,[10]Summary!$A$2:$A$59,[10]Summary!$D$2:$D$59)</f>
        <v>no</v>
      </c>
      <c r="F31" s="250">
        <f>_xlfn.XLOOKUP(B31,[10]Summary!$A$2:$A$59,[10]Summary!$F$2:$F$59)</f>
        <v>0.55659377574920654</v>
      </c>
      <c r="G31" s="250">
        <f>_xlfn.XLOOKUP(B31,[10]Summary!$A$2:$A$59,[10]Summary!$E$2:$E$59)</f>
        <v>1.0331225395202637</v>
      </c>
      <c r="H31" s="250">
        <f>_xlfn.XLOOKUP(B31,[10]Summary!$A$2:$A$59,[10]Summary!$G$2:$G$59)</f>
        <v>0.79485815763473511</v>
      </c>
      <c r="I31" s="250">
        <f t="shared" si="0"/>
        <v>0.55659377574920654</v>
      </c>
      <c r="J31"/>
    </row>
    <row r="32" spans="1:10" ht="15" customHeight="1" x14ac:dyDescent="0.25">
      <c r="A32" s="5">
        <v>1</v>
      </c>
      <c r="B32" s="7" t="s">
        <v>14</v>
      </c>
      <c r="C32" s="257">
        <f>_xlfn.XLOOKUP(B32,[10]Summary!$A$2:$A$59,[10]Summary!$C$2:$C$59)</f>
        <v>0.90308988094329834</v>
      </c>
      <c r="D32" s="257">
        <f>_xlfn.XLOOKUP(B32,[10]Summary!$A$2:$A$59,[10]Summary!$B$2:$B$59)</f>
        <v>9.6910111606121063E-2</v>
      </c>
      <c r="E32" s="257" t="str">
        <f>_xlfn.XLOOKUP(B32,[10]Summary!$A$2:$A$59,[10]Summary!$D$2:$D$59)</f>
        <v>no</v>
      </c>
      <c r="F32" s="250">
        <f>_xlfn.XLOOKUP(B32,[10]Summary!$A$2:$A$59,[10]Summary!$F$2:$F$59)</f>
        <v>0.89388126134872437</v>
      </c>
      <c r="G32" s="250">
        <f>_xlfn.XLOOKUP(B32,[10]Summary!$A$2:$A$59,[10]Summary!$E$2:$E$59)</f>
        <v>0.95110553503036499</v>
      </c>
      <c r="H32" s="250">
        <f>_xlfn.XLOOKUP(B32,[10]Summary!$A$2:$A$59,[10]Summary!$G$2:$G$59)</f>
        <v>0.92249339818954468</v>
      </c>
      <c r="I32" s="250">
        <f t="shared" si="0"/>
        <v>0.89388126134872437</v>
      </c>
      <c r="J32"/>
    </row>
    <row r="33" spans="1:10" ht="15" customHeight="1" x14ac:dyDescent="0.25">
      <c r="A33" s="5">
        <v>3</v>
      </c>
      <c r="B33" s="7" t="s">
        <v>44</v>
      </c>
      <c r="C33" s="257">
        <f>_xlfn.XLOOKUP(B33,[10]Summary!$A$2:$A$59,[10]Summary!$C$2:$C$59)</f>
        <v>0.62294530868530273</v>
      </c>
      <c r="D33" s="257">
        <f>_xlfn.XLOOKUP(B33,[10]Summary!$A$2:$A$59,[10]Summary!$B$2:$B$59)</f>
        <v>0.37705463171005249</v>
      </c>
      <c r="E33" s="257" t="str">
        <f>_xlfn.XLOOKUP(B33,[10]Summary!$A$2:$A$59,[10]Summary!$D$2:$D$59)</f>
        <v>no</v>
      </c>
      <c r="F33" s="250">
        <f>_xlfn.XLOOKUP(B33,[10]Summary!$A$2:$A$59,[10]Summary!$F$2:$F$59)</f>
        <v>1.1378327608108521</v>
      </c>
      <c r="G33" s="250">
        <f>_xlfn.XLOOKUP(B33,[10]Summary!$A$2:$A$59,[10]Summary!$E$2:$E$59)</f>
        <v>0.9161791205406189</v>
      </c>
      <c r="H33" s="250">
        <f>_xlfn.XLOOKUP(B33,[10]Summary!$A$2:$A$59,[10]Summary!$G$2:$G$59)</f>
        <v>1.0270059108734131</v>
      </c>
      <c r="I33" s="250">
        <f t="shared" si="0"/>
        <v>1.1378327608108521</v>
      </c>
      <c r="J33"/>
    </row>
    <row r="34" spans="1:10" ht="15" customHeight="1" x14ac:dyDescent="0.25">
      <c r="A34" s="5">
        <v>2</v>
      </c>
      <c r="B34" s="6" t="s">
        <v>29</v>
      </c>
      <c r="C34" s="257">
        <f>_xlfn.XLOOKUP(B34,[10]Summary!$A$2:$A$59,[10]Summary!$C$2:$C$59)</f>
        <v>0.76595300436019897</v>
      </c>
      <c r="D34" s="257">
        <f>_xlfn.XLOOKUP(B34,[10]Summary!$A$2:$A$59,[10]Summary!$B$2:$B$59)</f>
        <v>0.23404699563980103</v>
      </c>
      <c r="E34" s="257" t="str">
        <f>_xlfn.XLOOKUP(B34,[10]Summary!$A$2:$A$59,[10]Summary!$D$2:$D$59)</f>
        <v>no</v>
      </c>
      <c r="F34" s="250">
        <f>_xlfn.XLOOKUP(B34,[10]Summary!$A$2:$A$59,[10]Summary!$F$2:$F$59)</f>
        <v>1.2704272270202637</v>
      </c>
      <c r="G34" s="250">
        <f>_xlfn.XLOOKUP(B34,[10]Summary!$A$2:$A$59,[10]Summary!$E$2:$E$59)</f>
        <v>0.93304187059402466</v>
      </c>
      <c r="H34" s="250">
        <f>_xlfn.XLOOKUP(B34,[10]Summary!$A$2:$A$59,[10]Summary!$G$2:$G$59)</f>
        <v>1.1017345190048218</v>
      </c>
      <c r="I34" s="250">
        <f t="shared" si="0"/>
        <v>1.2704272270202637</v>
      </c>
      <c r="J34"/>
    </row>
    <row r="35" spans="1:10" ht="15" customHeight="1" x14ac:dyDescent="0.25">
      <c r="A35" s="5">
        <v>2</v>
      </c>
      <c r="B35" s="7" t="s">
        <v>30</v>
      </c>
      <c r="C35" s="257">
        <f>_xlfn.XLOOKUP(B35,[10]Summary!$A$2:$A$59,[10]Summary!$C$2:$C$59)</f>
        <v>0.70459520816802979</v>
      </c>
      <c r="D35" s="257">
        <f>_xlfn.XLOOKUP(B35,[10]Summary!$A$2:$A$59,[10]Summary!$B$2:$B$59)</f>
        <v>0.2954048216342926</v>
      </c>
      <c r="E35" s="257" t="str">
        <f>_xlfn.XLOOKUP(B35,[10]Summary!$A$2:$A$59,[10]Summary!$D$2:$D$59)</f>
        <v>no</v>
      </c>
      <c r="F35" s="250">
        <f>_xlfn.XLOOKUP(B35,[10]Summary!$A$2:$A$59,[10]Summary!$F$2:$F$59)</f>
        <v>1.0598667860031128</v>
      </c>
      <c r="G35" s="250">
        <f>_xlfn.XLOOKUP(B35,[10]Summary!$A$2:$A$59,[10]Summary!$E$2:$E$59)</f>
        <v>0.76997536420822144</v>
      </c>
      <c r="H35" s="250">
        <f>_xlfn.XLOOKUP(B35,[10]Summary!$A$2:$A$59,[10]Summary!$G$2:$G$59)</f>
        <v>0.91492104530334473</v>
      </c>
      <c r="I35" s="250">
        <f t="shared" si="0"/>
        <v>1.0598667860031128</v>
      </c>
      <c r="J35"/>
    </row>
    <row r="36" spans="1:10" ht="15" customHeight="1" x14ac:dyDescent="0.25">
      <c r="A36" s="5">
        <v>4</v>
      </c>
      <c r="B36" s="7" t="s">
        <v>55</v>
      </c>
      <c r="C36" s="257">
        <f>_xlfn.XLOOKUP(B36,[10]Summary!$A$2:$A$59,[10]Summary!$C$2:$C$59)</f>
        <v>0.88568878173828125</v>
      </c>
      <c r="D36" s="257">
        <f>_xlfn.XLOOKUP(B36,[10]Summary!$A$2:$A$59,[10]Summary!$B$2:$B$59)</f>
        <v>0.11431123316287994</v>
      </c>
      <c r="E36" s="257" t="str">
        <f>_xlfn.XLOOKUP(B36,[10]Summary!$A$2:$A$59,[10]Summary!$D$2:$D$59)</f>
        <v>no</v>
      </c>
      <c r="F36" s="250">
        <f>_xlfn.XLOOKUP(B36,[10]Summary!$A$2:$A$59,[10]Summary!$F$2:$F$59)</f>
        <v>1.2253736257553101</v>
      </c>
      <c r="G36" s="250">
        <f>_xlfn.XLOOKUP(B36,[10]Summary!$A$2:$A$59,[10]Summary!$E$2:$E$59)</f>
        <v>1.1788177490234375</v>
      </c>
      <c r="H36" s="250">
        <f>_xlfn.XLOOKUP(B36,[10]Summary!$A$2:$A$59,[10]Summary!$G$2:$G$59)</f>
        <v>1.2020957469940186</v>
      </c>
      <c r="I36" s="250">
        <f t="shared" si="0"/>
        <v>1.2253736257553101</v>
      </c>
      <c r="J36"/>
    </row>
    <row r="37" spans="1:10" ht="15" customHeight="1" x14ac:dyDescent="0.25">
      <c r="A37" s="5">
        <v>2</v>
      </c>
      <c r="B37" s="6" t="s">
        <v>31</v>
      </c>
      <c r="C37" s="257">
        <f>_xlfn.XLOOKUP(B37,[10]Summary!$A$2:$A$59,[10]Summary!$C$2:$C$59)</f>
        <v>0.8828662633895874</v>
      </c>
      <c r="D37" s="257">
        <f>_xlfn.XLOOKUP(B37,[10]Summary!$A$2:$A$59,[10]Summary!$B$2:$B$59)</f>
        <v>0.1171337366104126</v>
      </c>
      <c r="E37" s="257" t="str">
        <f>_xlfn.XLOOKUP(B37,[10]Summary!$A$2:$A$59,[10]Summary!$D$2:$D$59)</f>
        <v>no</v>
      </c>
      <c r="F37" s="250">
        <f>_xlfn.XLOOKUP(B37,[10]Summary!$A$2:$A$59,[10]Summary!$F$2:$F$59)</f>
        <v>1.1566240787506104</v>
      </c>
      <c r="G37" s="250">
        <f>_xlfn.XLOOKUP(B37,[10]Summary!$A$2:$A$59,[10]Summary!$E$2:$E$59)</f>
        <v>0.98201668262481689</v>
      </c>
      <c r="H37" s="250">
        <f>_xlfn.XLOOKUP(B37,[10]Summary!$A$2:$A$59,[10]Summary!$G$2:$G$59)</f>
        <v>1.0693204402923584</v>
      </c>
      <c r="I37" s="250">
        <f t="shared" si="0"/>
        <v>1.1566240787506104</v>
      </c>
      <c r="J37"/>
    </row>
    <row r="38" spans="1:10" ht="15" customHeight="1" x14ac:dyDescent="0.25">
      <c r="A38" s="5">
        <v>1</v>
      </c>
      <c r="B38" s="7" t="s">
        <v>15</v>
      </c>
      <c r="C38" s="257">
        <f>_xlfn.XLOOKUP(B38,[10]Summary!$A$2:$A$59,[10]Summary!$C$2:$C$59)</f>
        <v>0.91766822338104248</v>
      </c>
      <c r="D38" s="257">
        <f>_xlfn.XLOOKUP(B38,[10]Summary!$A$2:$A$59,[10]Summary!$B$2:$B$59)</f>
        <v>8.2331731915473938E-2</v>
      </c>
      <c r="E38" s="257" t="str">
        <f>_xlfn.XLOOKUP(B38,[10]Summary!$A$2:$A$59,[10]Summary!$D$2:$D$59)</f>
        <v>no</v>
      </c>
      <c r="F38" s="250">
        <f>_xlfn.XLOOKUP(B38,[10]Summary!$A$2:$A$59,[10]Summary!$F$2:$F$59)</f>
        <v>0.72069120407104492</v>
      </c>
      <c r="G38" s="250">
        <f>_xlfn.XLOOKUP(B38,[10]Summary!$A$2:$A$59,[10]Summary!$E$2:$E$59)</f>
        <v>0.84519660472869873</v>
      </c>
      <c r="H38" s="250">
        <f>_xlfn.XLOOKUP(B38,[10]Summary!$A$2:$A$59,[10]Summary!$G$2:$G$59)</f>
        <v>0.78294390439987183</v>
      </c>
      <c r="I38" s="250">
        <f t="shared" si="0"/>
        <v>0.72069120407104492</v>
      </c>
      <c r="J38"/>
    </row>
    <row r="39" spans="1:10" ht="15" customHeight="1" x14ac:dyDescent="0.25">
      <c r="A39" s="5">
        <v>4</v>
      </c>
      <c r="B39" s="7" t="s">
        <v>56</v>
      </c>
      <c r="C39" s="257">
        <f>_xlfn.XLOOKUP(B39,[10]Summary!$A$2:$A$59,[10]Summary!$C$2:$C$59)</f>
        <v>0.80293542146682739</v>
      </c>
      <c r="D39" s="257">
        <f>_xlfn.XLOOKUP(B39,[10]Summary!$A$2:$A$59,[10]Summary!$B$2:$B$59)</f>
        <v>0.19706462323665619</v>
      </c>
      <c r="E39" s="257" t="str">
        <f>_xlfn.XLOOKUP(B39,[10]Summary!$A$2:$A$59,[10]Summary!$D$2:$D$59)</f>
        <v>no</v>
      </c>
      <c r="F39" s="250">
        <f>_xlfn.XLOOKUP(B39,[10]Summary!$A$2:$A$59,[10]Summary!$F$2:$F$59)</f>
        <v>1.0623291730880737</v>
      </c>
      <c r="G39" s="250">
        <f>_xlfn.XLOOKUP(B39,[10]Summary!$A$2:$A$59,[10]Summary!$E$2:$E$59)</f>
        <v>0.97440284490585327</v>
      </c>
      <c r="H39" s="250">
        <f>_xlfn.XLOOKUP(B39,[10]Summary!$A$2:$A$59,[10]Summary!$G$2:$G$59)</f>
        <v>1.0183659791946411</v>
      </c>
      <c r="I39" s="250">
        <f t="shared" si="0"/>
        <v>1.0623291730880737</v>
      </c>
      <c r="J39"/>
    </row>
    <row r="40" spans="1:10" ht="15" customHeight="1" x14ac:dyDescent="0.25">
      <c r="A40" s="5">
        <v>4</v>
      </c>
      <c r="B40" s="6" t="s">
        <v>57</v>
      </c>
      <c r="C40" s="257">
        <f>_xlfn.XLOOKUP(B40,[10]Summary!$A$2:$A$59,[10]Summary!$C$2:$C$59)</f>
        <v>0.17456191778182983</v>
      </c>
      <c r="D40" s="257">
        <f>_xlfn.XLOOKUP(B40,[10]Summary!$A$2:$A$59,[10]Summary!$B$2:$B$59)</f>
        <v>0.82543808221817017</v>
      </c>
      <c r="E40" s="257" t="str">
        <f>_xlfn.XLOOKUP(B40,[10]Summary!$A$2:$A$59,[10]Summary!$D$2:$D$59)</f>
        <v>yes</v>
      </c>
      <c r="F40" s="250">
        <f>_xlfn.XLOOKUP(B40,[10]Summary!$A$2:$A$59,[10]Summary!$F$2:$F$59)</f>
        <v>1.1954292058944702</v>
      </c>
      <c r="G40" s="250">
        <f>_xlfn.XLOOKUP(B40,[10]Summary!$A$2:$A$59,[10]Summary!$E$2:$E$59)</f>
        <v>1.4554316997528076</v>
      </c>
      <c r="H40" s="250">
        <f>_xlfn.XLOOKUP(B40,[10]Summary!$A$2:$A$59,[10]Summary!$G$2:$G$59)</f>
        <v>1.3254303932189941</v>
      </c>
      <c r="I40" s="250">
        <f t="shared" si="0"/>
        <v>1.3254303932189941</v>
      </c>
      <c r="J40"/>
    </row>
    <row r="41" spans="1:10" ht="15" customHeight="1" x14ac:dyDescent="0.25">
      <c r="A41" s="5">
        <v>1</v>
      </c>
      <c r="B41" s="7" t="s">
        <v>16</v>
      </c>
      <c r="C41" s="257">
        <f>_xlfn.XLOOKUP(B41,[10]Summary!$A$2:$A$59,[10]Summary!$C$2:$C$59)</f>
        <v>0.90555757284164429</v>
      </c>
      <c r="D41" s="257">
        <f>_xlfn.XLOOKUP(B41,[10]Summary!$A$2:$A$59,[10]Summary!$B$2:$B$59)</f>
        <v>9.4442419707775116E-2</v>
      </c>
      <c r="E41" s="257" t="str">
        <f>_xlfn.XLOOKUP(B41,[10]Summary!$A$2:$A$59,[10]Summary!$D$2:$D$59)</f>
        <v>no</v>
      </c>
      <c r="F41" s="250">
        <f>_xlfn.XLOOKUP(B41,[10]Summary!$A$2:$A$59,[10]Summary!$F$2:$F$59)</f>
        <v>1.0067623853683472</v>
      </c>
      <c r="G41" s="250">
        <f>_xlfn.XLOOKUP(B41,[10]Summary!$A$2:$A$59,[10]Summary!$E$2:$E$59)</f>
        <v>0.73973119258880615</v>
      </c>
      <c r="H41" s="250">
        <f>_xlfn.XLOOKUP(B41,[10]Summary!$A$2:$A$59,[10]Summary!$G$2:$G$59)</f>
        <v>0.87324678897857666</v>
      </c>
      <c r="I41" s="250">
        <f t="shared" si="0"/>
        <v>1.0067623853683472</v>
      </c>
      <c r="J41"/>
    </row>
    <row r="42" spans="1:10" ht="15" customHeight="1" x14ac:dyDescent="0.25">
      <c r="A42" s="5">
        <v>4</v>
      </c>
      <c r="B42" s="7" t="s">
        <v>58</v>
      </c>
      <c r="C42" s="257">
        <f>_xlfn.XLOOKUP(B42,[10]Summary!$A$2:$A$59,[10]Summary!$C$2:$C$59)</f>
        <v>0.76743221282958984</v>
      </c>
      <c r="D42" s="257">
        <f>_xlfn.XLOOKUP(B42,[10]Summary!$A$2:$A$59,[10]Summary!$B$2:$B$59)</f>
        <v>0.23256781697273254</v>
      </c>
      <c r="E42" s="257" t="str">
        <f>_xlfn.XLOOKUP(B42,[10]Summary!$A$2:$A$59,[10]Summary!$D$2:$D$59)</f>
        <v>no</v>
      </c>
      <c r="F42" s="250">
        <f>_xlfn.XLOOKUP(B42,[10]Summary!$A$2:$A$59,[10]Summary!$F$2:$F$59)</f>
        <v>1.1444829702377319</v>
      </c>
      <c r="G42" s="250">
        <f>_xlfn.XLOOKUP(B42,[10]Summary!$A$2:$A$59,[10]Summary!$E$2:$E$59)</f>
        <v>1.051307201385498</v>
      </c>
      <c r="H42" s="250">
        <f>_xlfn.XLOOKUP(B42,[10]Summary!$A$2:$A$59,[10]Summary!$G$2:$G$59)</f>
        <v>1.0978951454162598</v>
      </c>
      <c r="I42" s="250">
        <f t="shared" si="0"/>
        <v>1.1444829702377319</v>
      </c>
      <c r="J42"/>
    </row>
    <row r="43" spans="1:10" ht="15" customHeight="1" x14ac:dyDescent="0.25">
      <c r="A43" s="5">
        <v>4</v>
      </c>
      <c r="B43" s="6" t="s">
        <v>59</v>
      </c>
      <c r="C43" s="257">
        <f>_xlfn.XLOOKUP(B43,[10]Summary!$A$2:$A$59,[10]Summary!$C$2:$C$59)</f>
        <v>0.83553683757781982</v>
      </c>
      <c r="D43" s="257">
        <f>_xlfn.XLOOKUP(B43,[10]Summary!$A$2:$A$59,[10]Summary!$B$2:$B$59)</f>
        <v>0.16446316242218018</v>
      </c>
      <c r="E43" s="257" t="str">
        <f>_xlfn.XLOOKUP(B43,[10]Summary!$A$2:$A$59,[10]Summary!$D$2:$D$59)</f>
        <v>no</v>
      </c>
      <c r="F43" s="250">
        <f>_xlfn.XLOOKUP(B43,[10]Summary!$A$2:$A$59,[10]Summary!$F$2:$F$59)</f>
        <v>1.1781414747238159</v>
      </c>
      <c r="G43" s="250">
        <f>_xlfn.XLOOKUP(B43,[10]Summary!$A$2:$A$59,[10]Summary!$E$2:$E$59)</f>
        <v>1.1109331846237183</v>
      </c>
      <c r="H43" s="250">
        <f>_xlfn.XLOOKUP(B43,[10]Summary!$A$2:$A$59,[10]Summary!$G$2:$G$59)</f>
        <v>1.1445373296737671</v>
      </c>
      <c r="I43" s="250">
        <f t="shared" si="0"/>
        <v>1.1781414747238159</v>
      </c>
      <c r="J43"/>
    </row>
    <row r="44" spans="1:10" ht="15" customHeight="1" x14ac:dyDescent="0.25">
      <c r="A44" s="5">
        <v>3</v>
      </c>
      <c r="B44" s="7" t="s">
        <v>60</v>
      </c>
      <c r="C44" s="257">
        <f>_xlfn.XLOOKUP(B44,[10]Summary!$A$2:$A$59,[10]Summary!$C$2:$C$59)</f>
        <v>0.5916060209274292</v>
      </c>
      <c r="D44" s="257">
        <f>_xlfn.XLOOKUP(B44,[10]Summary!$A$2:$A$59,[10]Summary!$B$2:$B$59)</f>
        <v>0.4083939790725708</v>
      </c>
      <c r="E44" s="257" t="str">
        <f>_xlfn.XLOOKUP(B44,[10]Summary!$A$2:$A$59,[10]Summary!$D$2:$D$59)</f>
        <v>no</v>
      </c>
      <c r="F44" s="250">
        <f>_xlfn.XLOOKUP(B44,[10]Summary!$A$2:$A$59,[10]Summary!$F$2:$F$59)</f>
        <v>1.6870681047439575</v>
      </c>
      <c r="G44" s="250">
        <f>_xlfn.XLOOKUP(B44,[10]Summary!$A$2:$A$59,[10]Summary!$E$2:$E$59)</f>
        <v>1.6201558113098145</v>
      </c>
      <c r="H44" s="250">
        <f>_xlfn.XLOOKUP(B44,[10]Summary!$A$2:$A$59,[10]Summary!$G$2:$G$59)</f>
        <v>1.6536118984222412</v>
      </c>
      <c r="I44" s="250">
        <f t="shared" si="0"/>
        <v>1.6870681047439575</v>
      </c>
      <c r="J44"/>
    </row>
    <row r="45" spans="1:10" ht="15" customHeight="1" x14ac:dyDescent="0.25">
      <c r="A45" s="5">
        <v>3</v>
      </c>
      <c r="B45" s="7" t="s">
        <v>45</v>
      </c>
      <c r="C45" s="257">
        <f>_xlfn.XLOOKUP(B45,[10]Summary!$A$2:$A$59,[10]Summary!$C$2:$C$59)</f>
        <v>0.69829642772674561</v>
      </c>
      <c r="D45" s="257">
        <f>_xlfn.XLOOKUP(B45,[10]Summary!$A$2:$A$59,[10]Summary!$B$2:$B$59)</f>
        <v>0.30170360207557678</v>
      </c>
      <c r="E45" s="257" t="str">
        <f>_xlfn.XLOOKUP(B45,[10]Summary!$A$2:$A$59,[10]Summary!$D$2:$D$59)</f>
        <v>no</v>
      </c>
      <c r="F45" s="250">
        <f>_xlfn.XLOOKUP(B45,[10]Summary!$A$2:$A$59,[10]Summary!$F$2:$F$59)</f>
        <v>1.0517959594726563</v>
      </c>
      <c r="G45" s="250">
        <f>_xlfn.XLOOKUP(B45,[10]Summary!$A$2:$A$59,[10]Summary!$E$2:$E$59)</f>
        <v>1.0319501161575317</v>
      </c>
      <c r="H45" s="250">
        <f>_xlfn.XLOOKUP(B45,[10]Summary!$A$2:$A$59,[10]Summary!$G$2:$G$59)</f>
        <v>1.0418729782104492</v>
      </c>
      <c r="I45" s="250">
        <f t="shared" si="0"/>
        <v>1.0517959594726563</v>
      </c>
      <c r="J45"/>
    </row>
    <row r="46" spans="1:10" ht="15" customHeight="1" x14ac:dyDescent="0.25">
      <c r="A46" s="5">
        <v>2</v>
      </c>
      <c r="B46" s="6" t="s">
        <v>32</v>
      </c>
      <c r="C46" s="257">
        <f>_xlfn.XLOOKUP(B46,[10]Summary!$A$2:$A$59,[10]Summary!$C$2:$C$59)</f>
        <v>0.55338132381439209</v>
      </c>
      <c r="D46" s="257">
        <f>_xlfn.XLOOKUP(B46,[10]Summary!$A$2:$A$59,[10]Summary!$B$2:$B$59)</f>
        <v>0.44661864638328552</v>
      </c>
      <c r="E46" s="257" t="str">
        <f>_xlfn.XLOOKUP(B46,[10]Summary!$A$2:$A$59,[10]Summary!$D$2:$D$59)</f>
        <v>no</v>
      </c>
      <c r="F46" s="250">
        <f>_xlfn.XLOOKUP(B46,[10]Summary!$A$2:$A$59,[10]Summary!$F$2:$F$59)</f>
        <v>1.0185075998306274</v>
      </c>
      <c r="G46" s="250">
        <f>_xlfn.XLOOKUP(B46,[10]Summary!$A$2:$A$59,[10]Summary!$E$2:$E$59)</f>
        <v>1.0434025526046753</v>
      </c>
      <c r="H46" s="250">
        <f>_xlfn.XLOOKUP(B46,[10]Summary!$A$2:$A$59,[10]Summary!$G$2:$G$59)</f>
        <v>1.0309550762176514</v>
      </c>
      <c r="I46" s="250">
        <f t="shared" si="0"/>
        <v>1.0185075998306274</v>
      </c>
      <c r="J46"/>
    </row>
    <row r="47" spans="1:10" ht="15" customHeight="1" x14ac:dyDescent="0.25">
      <c r="A47" s="5">
        <v>3</v>
      </c>
      <c r="B47" s="7" t="s">
        <v>46</v>
      </c>
      <c r="C47" s="257">
        <f>_xlfn.XLOOKUP(B47,[10]Summary!$A$2:$A$59,[10]Summary!$C$2:$C$59)</f>
        <v>0.96350932121276855</v>
      </c>
      <c r="D47" s="257">
        <f>_xlfn.XLOOKUP(B47,[10]Summary!$A$2:$A$59,[10]Summary!$B$2:$B$59)</f>
        <v>3.6490742117166519E-2</v>
      </c>
      <c r="E47" s="257" t="str">
        <f>_xlfn.XLOOKUP(B47,[10]Summary!$A$2:$A$59,[10]Summary!$D$2:$D$59)</f>
        <v>no</v>
      </c>
      <c r="F47" s="250">
        <f>_xlfn.XLOOKUP(B47,[10]Summary!$A$2:$A$59,[10]Summary!$F$2:$F$59)</f>
        <v>1.6112679243087769</v>
      </c>
      <c r="G47" s="250">
        <f>_xlfn.XLOOKUP(B47,[10]Summary!$A$2:$A$59,[10]Summary!$E$2:$E$59)</f>
        <v>0.89376723766326904</v>
      </c>
      <c r="H47" s="250">
        <f>_xlfn.XLOOKUP(B47,[10]Summary!$A$2:$A$59,[10]Summary!$G$2:$G$59)</f>
        <v>1.2525175809860229</v>
      </c>
      <c r="I47" s="250">
        <f t="shared" si="0"/>
        <v>1.6112679243087769</v>
      </c>
      <c r="J47"/>
    </row>
    <row r="48" spans="1:10" ht="15" customHeight="1" x14ac:dyDescent="0.25">
      <c r="A48" s="5">
        <v>3</v>
      </c>
      <c r="B48" s="7" t="s">
        <v>47</v>
      </c>
      <c r="C48" s="257">
        <f>_xlfn.XLOOKUP(B48,[10]Summary!$A$2:$A$59,[10]Summary!$C$2:$C$59)</f>
        <v>0.92540997266769409</v>
      </c>
      <c r="D48" s="257">
        <f>_xlfn.XLOOKUP(B48,[10]Summary!$A$2:$A$59,[10]Summary!$B$2:$B$59)</f>
        <v>7.4590042233467102E-2</v>
      </c>
      <c r="E48" s="257" t="str">
        <f>_xlfn.XLOOKUP(B48,[10]Summary!$A$2:$A$59,[10]Summary!$D$2:$D$59)</f>
        <v>no</v>
      </c>
      <c r="F48" s="250">
        <f>_xlfn.XLOOKUP(B48,[10]Summary!$A$2:$A$59,[10]Summary!$F$2:$F$59)</f>
        <v>1.2140299081802368</v>
      </c>
      <c r="G48" s="250">
        <f>_xlfn.XLOOKUP(B48,[10]Summary!$A$2:$A$59,[10]Summary!$E$2:$E$59)</f>
        <v>1.0221139192581177</v>
      </c>
      <c r="H48" s="250">
        <f>_xlfn.XLOOKUP(B48,[10]Summary!$A$2:$A$59,[10]Summary!$G$2:$G$59)</f>
        <v>1.1180719137191772</v>
      </c>
      <c r="I48" s="250">
        <f t="shared" si="0"/>
        <v>1.2140299081802368</v>
      </c>
      <c r="J48"/>
    </row>
    <row r="49" spans="1:10" ht="15" customHeight="1" x14ac:dyDescent="0.25">
      <c r="A49" s="5">
        <v>4</v>
      </c>
      <c r="B49" s="6" t="s">
        <v>61</v>
      </c>
      <c r="C49" s="257">
        <f>_xlfn.XLOOKUP(B49,[10]Summary!$A$2:$A$59,[10]Summary!$C$2:$C$59)</f>
        <v>0.9406510591506958</v>
      </c>
      <c r="D49" s="257">
        <f>_xlfn.XLOOKUP(B49,[10]Summary!$A$2:$A$59,[10]Summary!$B$2:$B$59)</f>
        <v>5.934896320104599E-2</v>
      </c>
      <c r="E49" s="257" t="str">
        <f>_xlfn.XLOOKUP(B49,[10]Summary!$A$2:$A$59,[10]Summary!$D$2:$D$59)</f>
        <v>no</v>
      </c>
      <c r="F49" s="250">
        <f>_xlfn.XLOOKUP(B49,[10]Summary!$A$2:$A$59,[10]Summary!$F$2:$F$59)</f>
        <v>1.4843151569366455</v>
      </c>
      <c r="G49" s="250">
        <f>_xlfn.XLOOKUP(B49,[10]Summary!$A$2:$A$59,[10]Summary!$E$2:$E$59)</f>
        <v>1.0618906021118164</v>
      </c>
      <c r="H49" s="250">
        <f>_xlfn.XLOOKUP(B49,[10]Summary!$A$2:$A$59,[10]Summary!$G$2:$G$59)</f>
        <v>1.273102879524231</v>
      </c>
      <c r="I49" s="250">
        <f t="shared" si="0"/>
        <v>1.4843151569366455</v>
      </c>
      <c r="J49"/>
    </row>
    <row r="50" spans="1:10" ht="15" customHeight="1" x14ac:dyDescent="0.25">
      <c r="A50" s="5">
        <v>2</v>
      </c>
      <c r="B50" s="7" t="s">
        <v>33</v>
      </c>
      <c r="C50" s="257">
        <f>_xlfn.XLOOKUP(B50,[10]Summary!$A$2:$A$59,[10]Summary!$C$2:$C$59)</f>
        <v>0.84843343496322632</v>
      </c>
      <c r="D50" s="257">
        <f>_xlfn.XLOOKUP(B50,[10]Summary!$A$2:$A$59,[10]Summary!$B$2:$B$59)</f>
        <v>0.15156653523445129</v>
      </c>
      <c r="E50" s="257" t="str">
        <f>_xlfn.XLOOKUP(B50,[10]Summary!$A$2:$A$59,[10]Summary!$D$2:$D$59)</f>
        <v>no</v>
      </c>
      <c r="F50" s="250">
        <f>_xlfn.XLOOKUP(B50,[10]Summary!$A$2:$A$59,[10]Summary!$F$2:$F$59)</f>
        <v>1.1029928922653198</v>
      </c>
      <c r="G50" s="250">
        <f>_xlfn.XLOOKUP(B50,[10]Summary!$A$2:$A$59,[10]Summary!$E$2:$E$59)</f>
        <v>0.83474653959274292</v>
      </c>
      <c r="H50" s="250">
        <f>_xlfn.XLOOKUP(B50,[10]Summary!$A$2:$A$59,[10]Summary!$G$2:$G$59)</f>
        <v>0.96886968612670898</v>
      </c>
      <c r="I50" s="250">
        <f t="shared" si="0"/>
        <v>1.1029928922653198</v>
      </c>
      <c r="J50"/>
    </row>
    <row r="51" spans="1:10" ht="15" customHeight="1" x14ac:dyDescent="0.25">
      <c r="A51" s="5">
        <v>2</v>
      </c>
      <c r="B51" s="7" t="s">
        <v>34</v>
      </c>
      <c r="C51" s="257">
        <f>_xlfn.XLOOKUP(B51,[10]Summary!$A$2:$A$59,[10]Summary!$C$2:$C$59)</f>
        <v>0.68259811401367188</v>
      </c>
      <c r="D51" s="257">
        <f>_xlfn.XLOOKUP(B51,[10]Summary!$A$2:$A$59,[10]Summary!$B$2:$B$59)</f>
        <v>0.31740188598632813</v>
      </c>
      <c r="E51" s="257" t="str">
        <f>_xlfn.XLOOKUP(B51,[10]Summary!$A$2:$A$59,[10]Summary!$D$2:$D$59)</f>
        <v>no</v>
      </c>
      <c r="F51" s="250">
        <f>_xlfn.XLOOKUP(B51,[10]Summary!$A$2:$A$59,[10]Summary!$F$2:$F$59)</f>
        <v>0.92572021484375</v>
      </c>
      <c r="G51" s="250">
        <f>_xlfn.XLOOKUP(B51,[10]Summary!$A$2:$A$59,[10]Summary!$E$2:$E$59)</f>
        <v>1.0792994499206543</v>
      </c>
      <c r="H51" s="250">
        <f>_xlfn.XLOOKUP(B51,[10]Summary!$A$2:$A$59,[10]Summary!$G$2:$G$59)</f>
        <v>1.0025098323822021</v>
      </c>
      <c r="I51" s="250">
        <f t="shared" si="0"/>
        <v>0.92572021484375</v>
      </c>
      <c r="J51"/>
    </row>
    <row r="52" spans="1:10" ht="15" customHeight="1" x14ac:dyDescent="0.25">
      <c r="A52" s="5">
        <v>1</v>
      </c>
      <c r="B52" s="6" t="s">
        <v>17</v>
      </c>
      <c r="C52" s="257">
        <f>_xlfn.XLOOKUP(B52,[10]Summary!$A$2:$A$59,[10]Summary!$C$2:$C$59)</f>
        <v>1</v>
      </c>
      <c r="D52" s="257">
        <f>_xlfn.XLOOKUP(B52,[10]Summary!$A$2:$A$59,[10]Summary!$B$2:$B$59)</f>
        <v>0</v>
      </c>
      <c r="E52" s="257" t="str">
        <f>_xlfn.XLOOKUP(B52,[10]Summary!$A$2:$A$59,[10]Summary!$D$2:$D$59)</f>
        <v>no</v>
      </c>
      <c r="F52" s="250">
        <f>_xlfn.XLOOKUP(B52,[10]Summary!$A$2:$A$59,[10]Summary!$F$2:$F$59)</f>
        <v>0.70629554986953735</v>
      </c>
      <c r="G52" s="250">
        <f>_xlfn.XLOOKUP(B52,[10]Summary!$A$2:$A$59,[10]Summary!$E$2:$E$59)</f>
        <v>0</v>
      </c>
      <c r="H52" s="250">
        <f>_xlfn.XLOOKUP(B52,[10]Summary!$A$2:$A$59,[10]Summary!$G$2:$G$59)</f>
        <v>0.70629554986953735</v>
      </c>
      <c r="I52" s="250">
        <f t="shared" si="0"/>
        <v>0.70629554986953735</v>
      </c>
      <c r="J52"/>
    </row>
    <row r="53" spans="1:10" ht="15" customHeight="1" x14ac:dyDescent="0.25">
      <c r="A53" s="5">
        <v>2</v>
      </c>
      <c r="B53" s="7" t="s">
        <v>35</v>
      </c>
      <c r="C53" s="257">
        <f>_xlfn.XLOOKUP(B53,[10]Summary!$A$2:$A$59,[10]Summary!$C$2:$C$59)</f>
        <v>0.70770096778869629</v>
      </c>
      <c r="D53" s="257">
        <f>_xlfn.XLOOKUP(B53,[10]Summary!$A$2:$A$59,[10]Summary!$B$2:$B$59)</f>
        <v>0.29229903221130371</v>
      </c>
      <c r="E53" s="257" t="str">
        <f>_xlfn.XLOOKUP(B53,[10]Summary!$A$2:$A$59,[10]Summary!$D$2:$D$59)</f>
        <v>no</v>
      </c>
      <c r="F53" s="250">
        <f>_xlfn.XLOOKUP(B53,[10]Summary!$A$2:$A$59,[10]Summary!$F$2:$F$59)</f>
        <v>0.68677550554275513</v>
      </c>
      <c r="G53" s="250">
        <f>_xlfn.XLOOKUP(B53,[10]Summary!$A$2:$A$59,[10]Summary!$E$2:$E$59)</f>
        <v>0.88180458545684814</v>
      </c>
      <c r="H53" s="250">
        <f>_xlfn.XLOOKUP(B53,[10]Summary!$A$2:$A$59,[10]Summary!$G$2:$G$59)</f>
        <v>0.78429007530212402</v>
      </c>
      <c r="I53" s="250">
        <f t="shared" si="0"/>
        <v>0.68677550554275513</v>
      </c>
      <c r="J53"/>
    </row>
    <row r="54" spans="1:10" ht="15" customHeight="1" x14ac:dyDescent="0.25">
      <c r="A54" s="5">
        <v>3</v>
      </c>
      <c r="B54" s="7" t="s">
        <v>48</v>
      </c>
      <c r="C54" s="257">
        <f>_xlfn.XLOOKUP(B54,[10]Summary!$A$2:$A$59,[10]Summary!$C$2:$C$59)</f>
        <v>0.67171162366867065</v>
      </c>
      <c r="D54" s="257">
        <f>_xlfn.XLOOKUP(B54,[10]Summary!$A$2:$A$59,[10]Summary!$B$2:$B$59)</f>
        <v>0.32828831672668457</v>
      </c>
      <c r="E54" s="257" t="str">
        <f>_xlfn.XLOOKUP(B54,[10]Summary!$A$2:$A$59,[10]Summary!$D$2:$D$59)</f>
        <v>no</v>
      </c>
      <c r="F54" s="250">
        <f>_xlfn.XLOOKUP(B54,[10]Summary!$A$2:$A$59,[10]Summary!$F$2:$F$59)</f>
        <v>1.1892141103744507</v>
      </c>
      <c r="G54" s="250">
        <f>_xlfn.XLOOKUP(B54,[10]Summary!$A$2:$A$59,[10]Summary!$E$2:$E$59)</f>
        <v>1.1303901672363281</v>
      </c>
      <c r="H54" s="250">
        <f>_xlfn.XLOOKUP(B54,[10]Summary!$A$2:$A$59,[10]Summary!$G$2:$G$59)</f>
        <v>1.1598021984100342</v>
      </c>
      <c r="I54" s="250">
        <f t="shared" si="0"/>
        <v>1.1892141103744507</v>
      </c>
      <c r="J54"/>
    </row>
    <row r="55" spans="1:10" ht="15" customHeight="1" x14ac:dyDescent="0.25">
      <c r="A55" s="5">
        <v>3</v>
      </c>
      <c r="B55" s="6" t="s">
        <v>49</v>
      </c>
      <c r="C55" s="257">
        <f>_xlfn.XLOOKUP(B55,[10]Summary!$A$2:$A$59,[10]Summary!$C$2:$C$59)</f>
        <v>0.89244318008422852</v>
      </c>
      <c r="D55" s="257">
        <f>_xlfn.XLOOKUP(B55,[10]Summary!$A$2:$A$59,[10]Summary!$B$2:$B$59)</f>
        <v>0.10755684971809387</v>
      </c>
      <c r="E55" s="257" t="str">
        <f>_xlfn.XLOOKUP(B55,[10]Summary!$A$2:$A$59,[10]Summary!$D$2:$D$59)</f>
        <v>no</v>
      </c>
      <c r="F55" s="250">
        <f>_xlfn.XLOOKUP(B55,[10]Summary!$A$2:$A$59,[10]Summary!$F$2:$F$59)</f>
        <v>1.195616602897644</v>
      </c>
      <c r="G55" s="250">
        <f>_xlfn.XLOOKUP(B55,[10]Summary!$A$2:$A$59,[10]Summary!$E$2:$E$59)</f>
        <v>1.1183938980102539</v>
      </c>
      <c r="H55" s="250">
        <f>_xlfn.XLOOKUP(B55,[10]Summary!$A$2:$A$59,[10]Summary!$G$2:$G$59)</f>
        <v>1.1570053100585938</v>
      </c>
      <c r="I55" s="250">
        <f t="shared" si="0"/>
        <v>1.195616602897644</v>
      </c>
      <c r="J55"/>
    </row>
    <row r="56" spans="1:10" ht="15" customHeight="1" x14ac:dyDescent="0.25">
      <c r="A56" s="5">
        <v>3</v>
      </c>
      <c r="B56" s="7" t="s">
        <v>50</v>
      </c>
      <c r="C56" s="257">
        <f>_xlfn.XLOOKUP(B56,[10]Summary!$A$2:$A$59,[10]Summary!$C$2:$C$59)</f>
        <v>0.96247929334640503</v>
      </c>
      <c r="D56" s="257">
        <f>_xlfn.XLOOKUP(B56,[10]Summary!$A$2:$A$59,[10]Summary!$B$2:$B$59)</f>
        <v>3.7520710378885269E-2</v>
      </c>
      <c r="E56" s="257" t="str">
        <f>_xlfn.XLOOKUP(B56,[10]Summary!$A$2:$A$59,[10]Summary!$D$2:$D$59)</f>
        <v>no</v>
      </c>
      <c r="F56" s="250">
        <f>_xlfn.XLOOKUP(B56,[10]Summary!$A$2:$A$59,[10]Summary!$F$2:$F$59)</f>
        <v>1.0296658277511597</v>
      </c>
      <c r="G56" s="250">
        <f>_xlfn.XLOOKUP(B56,[10]Summary!$A$2:$A$59,[10]Summary!$E$2:$E$59)</f>
        <v>0.99833178520202637</v>
      </c>
      <c r="H56" s="250">
        <f>_xlfn.XLOOKUP(B56,[10]Summary!$A$2:$A$59,[10]Summary!$G$2:$G$59)</f>
        <v>1.0139987468719482</v>
      </c>
      <c r="I56" s="250">
        <f t="shared" si="0"/>
        <v>1.0296658277511597</v>
      </c>
      <c r="J56"/>
    </row>
    <row r="57" spans="1:10" ht="15" customHeight="1" x14ac:dyDescent="0.25">
      <c r="A57" s="5">
        <v>2</v>
      </c>
      <c r="B57" s="7" t="s">
        <v>36</v>
      </c>
      <c r="C57" s="257">
        <f>_xlfn.XLOOKUP(B57,[10]Summary!$A$2:$A$59,[10]Summary!$C$2:$C$59)</f>
        <v>0.93843960762023926</v>
      </c>
      <c r="D57" s="257">
        <f>_xlfn.XLOOKUP(B57,[10]Summary!$A$2:$A$59,[10]Summary!$B$2:$B$59)</f>
        <v>6.1560407280921936E-2</v>
      </c>
      <c r="E57" s="257" t="str">
        <f>_xlfn.XLOOKUP(B57,[10]Summary!$A$2:$A$59,[10]Summary!$D$2:$D$59)</f>
        <v>no</v>
      </c>
      <c r="F57" s="250">
        <f>_xlfn.XLOOKUP(B57,[10]Summary!$A$2:$A$59,[10]Summary!$F$2:$F$59)</f>
        <v>0.94268780946731567</v>
      </c>
      <c r="G57" s="250">
        <f>_xlfn.XLOOKUP(B57,[10]Summary!$A$2:$A$59,[10]Summary!$E$2:$E$59)</f>
        <v>1.1588068008422852</v>
      </c>
      <c r="H57" s="250">
        <f>_xlfn.XLOOKUP(B57,[10]Summary!$A$2:$A$59,[10]Summary!$G$2:$G$59)</f>
        <v>1.050747275352478</v>
      </c>
      <c r="I57" s="250">
        <f t="shared" si="0"/>
        <v>0.94268780946731567</v>
      </c>
      <c r="J57"/>
    </row>
    <row r="58" spans="1:10" ht="15" customHeight="1" x14ac:dyDescent="0.25">
      <c r="A58" s="5">
        <v>2</v>
      </c>
      <c r="B58" s="6" t="s">
        <v>37</v>
      </c>
      <c r="C58" s="257">
        <f>_xlfn.XLOOKUP(B58,[10]Summary!$A$2:$A$59,[10]Summary!$C$2:$C$59)</f>
        <v>0.68180733919143677</v>
      </c>
      <c r="D58" s="257">
        <f>_xlfn.XLOOKUP(B58,[10]Summary!$A$2:$A$59,[10]Summary!$B$2:$B$59)</f>
        <v>0.31819260120391846</v>
      </c>
      <c r="E58" s="257" t="str">
        <f>_xlfn.XLOOKUP(B58,[10]Summary!$A$2:$A$59,[10]Summary!$D$2:$D$59)</f>
        <v>no</v>
      </c>
      <c r="F58" s="250">
        <f>_xlfn.XLOOKUP(B58,[10]Summary!$A$2:$A$59,[10]Summary!$F$2:$F$59)</f>
        <v>0.76214200258255005</v>
      </c>
      <c r="G58" s="250">
        <f>_xlfn.XLOOKUP(B58,[10]Summary!$A$2:$A$59,[10]Summary!$E$2:$E$59)</f>
        <v>0.95283788442611694</v>
      </c>
      <c r="H58" s="250">
        <f>_xlfn.XLOOKUP(B58,[10]Summary!$A$2:$A$59,[10]Summary!$G$2:$G$59)</f>
        <v>0.8574899435043335</v>
      </c>
      <c r="I58" s="250">
        <f t="shared" si="0"/>
        <v>0.76214200258255005</v>
      </c>
      <c r="J58"/>
    </row>
    <row r="59" spans="1:10" ht="15" customHeight="1" x14ac:dyDescent="0.25">
      <c r="A59" s="5">
        <v>1</v>
      </c>
      <c r="B59" s="7" t="s">
        <v>18</v>
      </c>
      <c r="C59" s="257">
        <f>_xlfn.XLOOKUP(B59,[10]Summary!$A$2:$A$59,[10]Summary!$C$2:$C$59)</f>
        <v>0.92011833190917969</v>
      </c>
      <c r="D59" s="257">
        <f>_xlfn.XLOOKUP(B59,[10]Summary!$A$2:$A$59,[10]Summary!$B$2:$B$59)</f>
        <v>7.9881660640239716E-2</v>
      </c>
      <c r="E59" s="257" t="str">
        <f>_xlfn.XLOOKUP(B59,[10]Summary!$A$2:$A$59,[10]Summary!$D$2:$D$59)</f>
        <v>no</v>
      </c>
      <c r="F59" s="250">
        <f>_xlfn.XLOOKUP(B59,[10]Summary!$A$2:$A$59,[10]Summary!$F$2:$F$59)</f>
        <v>0.74786120653152466</v>
      </c>
      <c r="G59" s="250">
        <f>_xlfn.XLOOKUP(B59,[10]Summary!$A$2:$A$59,[10]Summary!$E$2:$E$59)</f>
        <v>1.0151429176330566</v>
      </c>
      <c r="H59" s="250">
        <f>_xlfn.XLOOKUP(B59,[10]Summary!$A$2:$A$59,[10]Summary!$G$2:$G$59)</f>
        <v>0.88150203227996826</v>
      </c>
      <c r="I59" s="250">
        <f t="shared" si="0"/>
        <v>0.74786120653152466</v>
      </c>
      <c r="J59"/>
    </row>
    <row r="60" spans="1:10" ht="15" customHeight="1" x14ac:dyDescent="0.25">
      <c r="A60" s="5">
        <v>3</v>
      </c>
      <c r="B60" s="7" t="s">
        <v>51</v>
      </c>
      <c r="C60" s="257">
        <f>_xlfn.XLOOKUP(B60,[10]Summary!$A$2:$A$59,[10]Summary!$C$2:$C$59)</f>
        <v>0.93446505069732666</v>
      </c>
      <c r="D60" s="257">
        <f>_xlfn.XLOOKUP(B60,[10]Summary!$A$2:$A$59,[10]Summary!$B$2:$B$59)</f>
        <v>6.5534979104995728E-2</v>
      </c>
      <c r="E60" s="257" t="str">
        <f>_xlfn.XLOOKUP(B60,[10]Summary!$A$2:$A$59,[10]Summary!$D$2:$D$59)</f>
        <v>no</v>
      </c>
      <c r="F60" s="250">
        <f>_xlfn.XLOOKUP(B60,[10]Summary!$A$2:$A$59,[10]Summary!$F$2:$F$59)</f>
        <v>0.97483712434768677</v>
      </c>
      <c r="G60" s="250">
        <f>_xlfn.XLOOKUP(B60,[10]Summary!$A$2:$A$59,[10]Summary!$E$2:$E$59)</f>
        <v>0.88249886035919189</v>
      </c>
      <c r="H60" s="250">
        <f>_xlfn.XLOOKUP(B60,[10]Summary!$A$2:$A$59,[10]Summary!$G$2:$G$59)</f>
        <v>0.92866802215576172</v>
      </c>
      <c r="I60" s="250">
        <f t="shared" si="0"/>
        <v>0.97483712434768677</v>
      </c>
      <c r="J60"/>
    </row>
    <row r="61" spans="1:10" ht="15" customHeight="1" x14ac:dyDescent="0.25">
      <c r="A61" s="5">
        <v>2</v>
      </c>
      <c r="B61" s="6" t="s">
        <v>38</v>
      </c>
      <c r="C61" s="257">
        <f>_xlfn.XLOOKUP(B61,[10]Summary!$A$2:$A$59,[10]Summary!$C$2:$C$59)</f>
        <v>0.50756162405014038</v>
      </c>
      <c r="D61" s="257">
        <f>_xlfn.XLOOKUP(B61,[10]Summary!$A$2:$A$59,[10]Summary!$B$2:$B$59)</f>
        <v>0.49243837594985962</v>
      </c>
      <c r="E61" s="257" t="str">
        <f>_xlfn.XLOOKUP(B61,[10]Summary!$A$2:$A$59,[10]Summary!$D$2:$D$59)</f>
        <v>no</v>
      </c>
      <c r="F61" s="250">
        <f>_xlfn.XLOOKUP(B61,[10]Summary!$A$2:$A$59,[10]Summary!$F$2:$F$59)</f>
        <v>0.82898223400115967</v>
      </c>
      <c r="G61" s="250">
        <f>_xlfn.XLOOKUP(B61,[10]Summary!$A$2:$A$59,[10]Summary!$E$2:$E$59)</f>
        <v>0.89914166927337646</v>
      </c>
      <c r="H61" s="250">
        <f>_xlfn.XLOOKUP(B61,[10]Summary!$A$2:$A$59,[10]Summary!$G$2:$G$59)</f>
        <v>0.86406195163726807</v>
      </c>
      <c r="I61" s="250">
        <f t="shared" si="0"/>
        <v>0.82898223400115967</v>
      </c>
      <c r="J61"/>
    </row>
    <row r="62" spans="1:10" ht="15" customHeight="1" x14ac:dyDescent="0.25">
      <c r="A62" s="5">
        <v>3</v>
      </c>
      <c r="B62" s="7" t="s">
        <v>52</v>
      </c>
      <c r="C62" s="257">
        <f>_xlfn.XLOOKUP(B62,[10]Summary!$A$2:$A$59,[10]Summary!$C$2:$C$59)</f>
        <v>0.92283499240875244</v>
      </c>
      <c r="D62" s="257">
        <f>_xlfn.XLOOKUP(B62,[10]Summary!$A$2:$A$59,[10]Summary!$B$2:$B$59)</f>
        <v>7.7165000140666962E-2</v>
      </c>
      <c r="E62" s="257" t="str">
        <f>_xlfn.XLOOKUP(B62,[10]Summary!$A$2:$A$59,[10]Summary!$D$2:$D$59)</f>
        <v>no</v>
      </c>
      <c r="F62" s="250">
        <f>_xlfn.XLOOKUP(B62,[10]Summary!$A$2:$A$59,[10]Summary!$F$2:$F$59)</f>
        <v>1.2526682615280151</v>
      </c>
      <c r="G62" s="250">
        <f>_xlfn.XLOOKUP(B62,[10]Summary!$A$2:$A$59,[10]Summary!$E$2:$E$59)</f>
        <v>1.0715751647949219</v>
      </c>
      <c r="H62" s="250">
        <f>_xlfn.XLOOKUP(B62,[10]Summary!$A$2:$A$59,[10]Summary!$G$2:$G$59)</f>
        <v>1.1621217727661133</v>
      </c>
      <c r="I62" s="250">
        <f t="shared" si="0"/>
        <v>1.2526682615280151</v>
      </c>
      <c r="J62"/>
    </row>
    <row r="63" spans="1:10" ht="15" customHeight="1" x14ac:dyDescent="0.25">
      <c r="A63" s="5">
        <v>2</v>
      </c>
      <c r="B63" s="7" t="s">
        <v>39</v>
      </c>
      <c r="C63" s="257">
        <f>_xlfn.XLOOKUP(B63,[10]Summary!$A$2:$A$59,[10]Summary!$C$2:$C$59)</f>
        <v>0.48631703853607178</v>
      </c>
      <c r="D63" s="257">
        <f>_xlfn.XLOOKUP(B63,[10]Summary!$A$2:$A$59,[10]Summary!$B$2:$B$59)</f>
        <v>0.51368296146392822</v>
      </c>
      <c r="E63" s="257" t="str">
        <f>_xlfn.XLOOKUP(B63,[10]Summary!$A$2:$A$59,[10]Summary!$D$2:$D$59)</f>
        <v>yes</v>
      </c>
      <c r="F63" s="250">
        <f>_xlfn.XLOOKUP(B63,[10]Summary!$A$2:$A$59,[10]Summary!$F$2:$F$59)</f>
        <v>1.0943315029144287</v>
      </c>
      <c r="G63" s="250">
        <f>_xlfn.XLOOKUP(B63,[10]Summary!$A$2:$A$59,[10]Summary!$E$2:$E$59)</f>
        <v>1.5137039422988892</v>
      </c>
      <c r="H63" s="250">
        <f>_xlfn.XLOOKUP(B63,[10]Summary!$A$2:$A$59,[10]Summary!$G$2:$G$59)</f>
        <v>1.3040177822113037</v>
      </c>
      <c r="I63" s="250">
        <f t="shared" si="0"/>
        <v>1.3040177822113037</v>
      </c>
      <c r="J63"/>
    </row>
    <row r="64" spans="1:10" ht="15" customHeight="1" x14ac:dyDescent="0.25">
      <c r="A64" s="5">
        <v>2</v>
      </c>
      <c r="B64" s="6" t="s">
        <v>40</v>
      </c>
      <c r="C64" s="257">
        <f>_xlfn.XLOOKUP(B64,[10]Summary!$A$2:$A$59,[10]Summary!$C$2:$C$59)</f>
        <v>0.48803690075874329</v>
      </c>
      <c r="D64" s="257">
        <f>_xlfn.XLOOKUP(B64,[10]Summary!$A$2:$A$59,[10]Summary!$B$2:$B$59)</f>
        <v>0.5119631290435791</v>
      </c>
      <c r="E64" s="257" t="str">
        <f>_xlfn.XLOOKUP(B64,[10]Summary!$A$2:$A$59,[10]Summary!$D$2:$D$59)</f>
        <v>yes</v>
      </c>
      <c r="F64" s="250">
        <f>_xlfn.XLOOKUP(B64,[10]Summary!$A$2:$A$59,[10]Summary!$F$2:$F$59)</f>
        <v>0.96436995267868042</v>
      </c>
      <c r="G64" s="250">
        <f>_xlfn.XLOOKUP(B64,[10]Summary!$A$2:$A$59,[10]Summary!$E$2:$E$59)</f>
        <v>1.4737969636917114</v>
      </c>
      <c r="H64" s="250">
        <f>_xlfn.XLOOKUP(B64,[10]Summary!$A$2:$A$59,[10]Summary!$G$2:$G$59)</f>
        <v>1.2190834283828735</v>
      </c>
      <c r="I64" s="250">
        <f t="shared" si="0"/>
        <v>1.2190834283828735</v>
      </c>
      <c r="J64"/>
    </row>
    <row r="65" spans="2:9" x14ac:dyDescent="0.25">
      <c r="E65" s="138"/>
      <c r="I65" s="139"/>
    </row>
    <row r="66" spans="2:9" x14ac:dyDescent="0.25">
      <c r="B66" s="140" t="s">
        <v>235</v>
      </c>
      <c r="C66" s="224"/>
    </row>
    <row r="67" spans="2:9" x14ac:dyDescent="0.25">
      <c r="B67" s="258"/>
    </row>
  </sheetData>
  <mergeCells count="3">
    <mergeCell ref="A5:A6"/>
    <mergeCell ref="B5:B6"/>
    <mergeCell ref="F4:H4"/>
  </mergeCells>
  <conditionalFormatting sqref="E5">
    <cfRule type="containsText" dxfId="3" priority="2" operator="containsText" text="Yes">
      <formula>NOT(ISERROR(SEARCH("Yes",E5)))</formula>
    </cfRule>
  </conditionalFormatting>
  <conditionalFormatting sqref="E7:H64">
    <cfRule type="cellIs" dxfId="2" priority="1" operator="equal">
      <formula>"yes"</formula>
    </cfRule>
  </conditionalFormatting>
  <printOptions horizontalCentered="1"/>
  <pageMargins left="0.25" right="0.25" top="0.5" bottom="0.5" header="0.3" footer="0.3"/>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39997558519241921"/>
    <pageSetUpPr fitToPage="1"/>
  </sheetPr>
  <dimension ref="A1:T68"/>
  <sheetViews>
    <sheetView view="pageBreakPreview" zoomScaleNormal="85" zoomScaleSheetLayoutView="100" workbookViewId="0">
      <pane xSplit="1" ySplit="6" topLeftCell="B64" activePane="bottomRight" state="frozen"/>
      <selection pane="topRight" activeCell="B1" sqref="B1"/>
      <selection pane="bottomLeft" activeCell="A7" sqref="A7"/>
      <selection pane="bottomRight" activeCell="S66" sqref="S66"/>
    </sheetView>
  </sheetViews>
  <sheetFormatPr defaultColWidth="9.42578125" defaultRowHeight="15" x14ac:dyDescent="0.25"/>
  <cols>
    <col min="1" max="1" width="15.5703125" style="101" customWidth="1"/>
    <col min="2" max="2" width="1.5703125" style="53" customWidth="1"/>
    <col min="3" max="3" width="11.42578125" style="101" customWidth="1"/>
    <col min="4" max="4" width="9.5703125" style="101" customWidth="1"/>
    <col min="5" max="5" width="9.42578125" style="101" bestFit="1" customWidth="1"/>
    <col min="6" max="6" width="8.5703125" style="101" bestFit="1" customWidth="1"/>
    <col min="7" max="7" width="10.42578125" style="101" customWidth="1"/>
    <col min="8" max="8" width="9.42578125" style="101" customWidth="1"/>
    <col min="9" max="9" width="10.5703125" style="101" bestFit="1" customWidth="1"/>
    <col min="10" max="10" width="11.5703125" style="101" customWidth="1"/>
    <col min="11" max="11" width="11.42578125" style="101" customWidth="1"/>
    <col min="12" max="12" width="12.5703125" style="101" customWidth="1"/>
    <col min="13" max="13" width="12.5703125" style="105" customWidth="1"/>
    <col min="14" max="14" width="1.5703125" style="53" customWidth="1"/>
    <col min="15" max="16" width="12.5703125" style="101" customWidth="1"/>
    <col min="17" max="17" width="12.5703125" style="105" customWidth="1"/>
    <col min="18" max="18" width="1.5703125" style="53" customWidth="1"/>
    <col min="19" max="19" width="12.5703125" style="105" customWidth="1"/>
    <col min="20" max="20" width="16.42578125" style="101" customWidth="1"/>
    <col min="21" max="16384" width="9.42578125" style="102"/>
  </cols>
  <sheetData>
    <row r="1" spans="1:20" ht="20.100000000000001" customHeight="1" x14ac:dyDescent="0.25">
      <c r="A1" s="48" t="s">
        <v>236</v>
      </c>
      <c r="B1" s="100"/>
      <c r="T1" s="102"/>
    </row>
    <row r="2" spans="1:20" ht="20.100000000000001" customHeight="1" x14ac:dyDescent="0.25">
      <c r="A2" s="49" t="s">
        <v>248</v>
      </c>
      <c r="B2" s="51"/>
      <c r="F2" s="103"/>
      <c r="G2" s="103"/>
      <c r="H2" s="103"/>
      <c r="I2" s="103"/>
      <c r="J2" s="103"/>
      <c r="K2" s="103"/>
      <c r="L2" s="103"/>
      <c r="M2" s="103"/>
      <c r="N2" s="51"/>
      <c r="O2" s="103"/>
      <c r="P2" s="103"/>
      <c r="Q2" s="103"/>
      <c r="R2" s="51"/>
      <c r="S2" s="103"/>
      <c r="T2" s="102"/>
    </row>
    <row r="3" spans="1:20" ht="20.100000000000001" customHeight="1" x14ac:dyDescent="0.25">
      <c r="A3" s="104"/>
      <c r="B3" s="51"/>
      <c r="N3" s="51"/>
      <c r="R3" s="51"/>
    </row>
    <row r="4" spans="1:20" ht="20.100000000000001" customHeight="1" x14ac:dyDescent="0.25">
      <c r="A4" s="76"/>
      <c r="B4" s="81"/>
      <c r="C4" s="286" t="s">
        <v>87</v>
      </c>
      <c r="D4" s="286"/>
      <c r="E4" s="286"/>
      <c r="F4" s="286"/>
      <c r="G4" s="286"/>
      <c r="H4" s="286"/>
      <c r="I4" s="286"/>
      <c r="J4" s="286"/>
      <c r="K4" s="286"/>
      <c r="L4" s="286"/>
      <c r="M4" s="286"/>
      <c r="N4" s="81"/>
      <c r="O4" s="284" t="s">
        <v>88</v>
      </c>
      <c r="P4" s="285"/>
      <c r="Q4" s="285"/>
      <c r="R4" s="81"/>
      <c r="S4" s="106"/>
      <c r="T4" s="107"/>
    </row>
    <row r="5" spans="1:20" s="109" customFormat="1" ht="75" customHeight="1" x14ac:dyDescent="0.25">
      <c r="A5" s="287" t="s">
        <v>63</v>
      </c>
      <c r="B5" s="81"/>
      <c r="C5" s="115" t="s">
        <v>89</v>
      </c>
      <c r="D5" s="115" t="s">
        <v>90</v>
      </c>
      <c r="E5" s="115" t="s">
        <v>91</v>
      </c>
      <c r="F5" s="115" t="s">
        <v>164</v>
      </c>
      <c r="G5" s="115" t="s">
        <v>179</v>
      </c>
      <c r="H5" s="115" t="s">
        <v>92</v>
      </c>
      <c r="I5" s="115" t="s">
        <v>160</v>
      </c>
      <c r="J5" s="74" t="s">
        <v>165</v>
      </c>
      <c r="K5" s="74" t="s">
        <v>166</v>
      </c>
      <c r="L5" s="74" t="s">
        <v>167</v>
      </c>
      <c r="M5" s="75" t="s">
        <v>168</v>
      </c>
      <c r="N5" s="81"/>
      <c r="O5" s="73" t="s">
        <v>163</v>
      </c>
      <c r="P5" s="73" t="s">
        <v>170</v>
      </c>
      <c r="Q5" s="73" t="s">
        <v>169</v>
      </c>
      <c r="R5" s="81"/>
      <c r="S5" s="95" t="s">
        <v>226</v>
      </c>
      <c r="T5" s="108"/>
    </row>
    <row r="6" spans="1:20" s="109" customFormat="1" x14ac:dyDescent="0.25">
      <c r="A6" s="287"/>
      <c r="B6" s="82"/>
      <c r="C6" s="78" t="s">
        <v>65</v>
      </c>
      <c r="D6" s="78" t="s">
        <v>1</v>
      </c>
      <c r="E6" s="78" t="s">
        <v>66</v>
      </c>
      <c r="F6" s="78" t="s">
        <v>2</v>
      </c>
      <c r="G6" s="78" t="s">
        <v>3</v>
      </c>
      <c r="H6" s="78" t="s">
        <v>83</v>
      </c>
      <c r="I6" s="78" t="s">
        <v>114</v>
      </c>
      <c r="J6" s="78" t="s">
        <v>113</v>
      </c>
      <c r="K6" s="78" t="s">
        <v>84</v>
      </c>
      <c r="L6" s="78" t="s">
        <v>85</v>
      </c>
      <c r="M6" s="78" t="s">
        <v>115</v>
      </c>
      <c r="N6" s="82"/>
      <c r="O6" s="78" t="s">
        <v>116</v>
      </c>
      <c r="P6" s="78" t="s">
        <v>86</v>
      </c>
      <c r="Q6" s="78" t="s">
        <v>76</v>
      </c>
      <c r="R6" s="82"/>
      <c r="S6" s="78" t="s">
        <v>117</v>
      </c>
      <c r="T6" s="108"/>
    </row>
    <row r="7" spans="1:20" ht="20.100000000000001" customHeight="1" x14ac:dyDescent="0.25">
      <c r="A7" s="114" t="s">
        <v>53</v>
      </c>
      <c r="B7" s="263"/>
      <c r="C7" s="114">
        <v>29.534397125244141</v>
      </c>
      <c r="D7" s="114">
        <v>95.015281677246094</v>
      </c>
      <c r="E7" s="114">
        <v>142.06686401367188</v>
      </c>
      <c r="F7" s="114">
        <v>73.634269714355469</v>
      </c>
      <c r="G7" s="114">
        <v>47.083354949951172</v>
      </c>
      <c r="H7" s="114">
        <v>13.208495140075684</v>
      </c>
      <c r="I7" s="114">
        <v>400.54266357421875</v>
      </c>
      <c r="J7" s="114">
        <v>27</v>
      </c>
      <c r="K7" s="114">
        <v>9.6000000000000014</v>
      </c>
      <c r="L7" s="114">
        <v>44.535694122314453</v>
      </c>
      <c r="M7" s="114">
        <v>446</v>
      </c>
      <c r="N7" s="114"/>
      <c r="O7" s="114">
        <v>71</v>
      </c>
      <c r="P7" s="114">
        <v>6.3000000000000007</v>
      </c>
      <c r="Q7" s="114">
        <v>83</v>
      </c>
      <c r="R7" s="263"/>
      <c r="S7" s="263">
        <v>529</v>
      </c>
    </row>
    <row r="8" spans="1:20" ht="20.100000000000001" customHeight="1" x14ac:dyDescent="0.25">
      <c r="A8" s="114" t="s">
        <v>4</v>
      </c>
      <c r="B8" s="263"/>
      <c r="C8" s="114">
        <v>0.58274555206298828</v>
      </c>
      <c r="D8" s="114">
        <v>0.28621828556060791</v>
      </c>
      <c r="E8" s="114">
        <v>0.13385339081287384</v>
      </c>
      <c r="F8" s="114">
        <v>5.8669894933700562E-2</v>
      </c>
      <c r="G8" s="114">
        <v>8.7505936622619629E-2</v>
      </c>
      <c r="H8" s="114">
        <v>5.9826266020536423E-2</v>
      </c>
      <c r="I8" s="114">
        <v>1.2088192701339722</v>
      </c>
      <c r="J8" s="114">
        <v>0</v>
      </c>
      <c r="K8" s="114">
        <v>6.6000000000000005</v>
      </c>
      <c r="L8" s="114">
        <v>0.18315443396568298</v>
      </c>
      <c r="M8" s="114">
        <v>2</v>
      </c>
      <c r="N8" s="114"/>
      <c r="O8" s="114">
        <v>1.25</v>
      </c>
      <c r="P8" s="114">
        <v>3.5</v>
      </c>
      <c r="Q8" s="114">
        <v>1</v>
      </c>
      <c r="R8" s="263"/>
      <c r="S8" s="263">
        <v>3</v>
      </c>
    </row>
    <row r="9" spans="1:20" ht="20.100000000000001" customHeight="1" x14ac:dyDescent="0.25">
      <c r="A9" s="114" t="s">
        <v>5</v>
      </c>
      <c r="B9" s="263"/>
      <c r="C9" s="114">
        <v>1.3457323312759399</v>
      </c>
      <c r="D9" s="114">
        <v>8.7924833297729492</v>
      </c>
      <c r="E9" s="114">
        <v>2.8510069847106934</v>
      </c>
      <c r="F9" s="114">
        <v>3.3020346164703369</v>
      </c>
      <c r="G9" s="114">
        <v>2.29888916015625</v>
      </c>
      <c r="H9" s="114">
        <v>0.74802541732788086</v>
      </c>
      <c r="I9" s="114">
        <v>19.338171005249023</v>
      </c>
      <c r="J9" s="114">
        <v>0</v>
      </c>
      <c r="K9" s="114">
        <v>6.6000000000000005</v>
      </c>
      <c r="L9" s="114">
        <v>2.9300258159637451</v>
      </c>
      <c r="M9" s="114">
        <v>23</v>
      </c>
      <c r="N9" s="114"/>
      <c r="O9" s="114">
        <v>3.3899999999999997</v>
      </c>
      <c r="P9" s="114">
        <v>3.5</v>
      </c>
      <c r="Q9" s="114">
        <v>8</v>
      </c>
      <c r="R9" s="263"/>
      <c r="S9" s="263">
        <v>31</v>
      </c>
    </row>
    <row r="10" spans="1:20" ht="20.100000000000001" customHeight="1" x14ac:dyDescent="0.25">
      <c r="A10" s="114" t="s">
        <v>19</v>
      </c>
      <c r="B10" s="263"/>
      <c r="C10" s="114">
        <v>5.3195734024047852</v>
      </c>
      <c r="D10" s="114">
        <v>29.661956787109375</v>
      </c>
      <c r="E10" s="114">
        <v>16.426214218139648</v>
      </c>
      <c r="F10" s="114">
        <v>16.408082962036133</v>
      </c>
      <c r="G10" s="114">
        <v>14.010204315185547</v>
      </c>
      <c r="H10" s="114">
        <v>4.1221694946289063</v>
      </c>
      <c r="I10" s="114">
        <v>85.948204040527344</v>
      </c>
      <c r="J10" s="114">
        <v>1.1000000000000001</v>
      </c>
      <c r="K10" s="114">
        <v>7.8000000000000007</v>
      </c>
      <c r="L10" s="114">
        <v>11.160026550292969</v>
      </c>
      <c r="M10" s="114">
        <v>98</v>
      </c>
      <c r="N10" s="114"/>
      <c r="O10" s="114">
        <v>9.9999999999999982</v>
      </c>
      <c r="P10" s="114">
        <v>5.1000000000000005</v>
      </c>
      <c r="Q10" s="114">
        <v>22</v>
      </c>
      <c r="R10" s="263"/>
      <c r="S10" s="263">
        <v>120</v>
      </c>
    </row>
    <row r="11" spans="1:20" ht="20.100000000000001" customHeight="1" x14ac:dyDescent="0.25">
      <c r="A11" s="114" t="s">
        <v>6</v>
      </c>
      <c r="B11" s="263"/>
      <c r="C11" s="114">
        <v>0.88284593820571899</v>
      </c>
      <c r="D11" s="114">
        <v>5.2119259834289551</v>
      </c>
      <c r="E11" s="114">
        <v>2.9201037883758545</v>
      </c>
      <c r="F11" s="114">
        <v>3.5085639953613281</v>
      </c>
      <c r="G11" s="114">
        <v>2.5367629528045654</v>
      </c>
      <c r="H11" s="114">
        <v>1.3355472087860107</v>
      </c>
      <c r="I11" s="114">
        <v>16.395750045776367</v>
      </c>
      <c r="J11" s="114">
        <v>0.25</v>
      </c>
      <c r="K11" s="114">
        <v>6.6000000000000005</v>
      </c>
      <c r="L11" s="114">
        <v>2.5220832824707031</v>
      </c>
      <c r="M11" s="114">
        <v>19</v>
      </c>
      <c r="N11" s="114"/>
      <c r="O11" s="114">
        <v>2.4500000000000002</v>
      </c>
      <c r="P11" s="114">
        <v>3.5</v>
      </c>
      <c r="Q11" s="114">
        <v>7</v>
      </c>
      <c r="R11" s="263"/>
      <c r="S11" s="263">
        <v>26</v>
      </c>
    </row>
    <row r="12" spans="1:20" ht="20.100000000000001" customHeight="1" x14ac:dyDescent="0.25">
      <c r="A12" s="114" t="s">
        <v>7</v>
      </c>
      <c r="B12" s="263"/>
      <c r="C12" s="114">
        <v>2.0263564586639404</v>
      </c>
      <c r="D12" s="114">
        <v>5.052947998046875</v>
      </c>
      <c r="E12" s="114">
        <v>0.93371903896331787</v>
      </c>
      <c r="F12" s="114">
        <v>1.5134859085083008</v>
      </c>
      <c r="G12" s="114">
        <v>0.84434837102890015</v>
      </c>
      <c r="H12" s="114">
        <v>0.5303226113319397</v>
      </c>
      <c r="I12" s="114">
        <v>10.901180267333984</v>
      </c>
      <c r="J12" s="114">
        <v>0</v>
      </c>
      <c r="K12" s="114">
        <v>6.6000000000000005</v>
      </c>
      <c r="L12" s="114">
        <v>1.6516939401626587</v>
      </c>
      <c r="M12" s="114">
        <v>13</v>
      </c>
      <c r="N12" s="114"/>
      <c r="O12" s="114">
        <v>1.1000000000000001</v>
      </c>
      <c r="P12" s="114">
        <v>3.5</v>
      </c>
      <c r="Q12" s="114">
        <v>5</v>
      </c>
      <c r="R12" s="263"/>
      <c r="S12" s="263">
        <v>18</v>
      </c>
    </row>
    <row r="13" spans="1:20" ht="20.100000000000001" customHeight="1" x14ac:dyDescent="0.25">
      <c r="A13" s="114" t="s">
        <v>41</v>
      </c>
      <c r="B13" s="263"/>
      <c r="C13" s="114">
        <v>12.593661308288574</v>
      </c>
      <c r="D13" s="114">
        <v>55.086387634277344</v>
      </c>
      <c r="E13" s="114">
        <v>79.463310241699219</v>
      </c>
      <c r="F13" s="114">
        <v>59.685222625732422</v>
      </c>
      <c r="G13" s="114">
        <v>41.809196472167969</v>
      </c>
      <c r="H13" s="114">
        <v>11.749387741088867</v>
      </c>
      <c r="I13" s="114">
        <v>260.38717651367188</v>
      </c>
      <c r="J13" s="114">
        <v>8.6999999999999993</v>
      </c>
      <c r="K13" s="114">
        <v>8.4</v>
      </c>
      <c r="L13" s="114">
        <v>32.034187316894531</v>
      </c>
      <c r="M13" s="114">
        <v>293</v>
      </c>
      <c r="N13" s="114"/>
      <c r="O13" s="114">
        <v>15.159999999999998</v>
      </c>
      <c r="P13" s="114">
        <v>6.3000000000000007</v>
      </c>
      <c r="Q13" s="114">
        <v>49</v>
      </c>
      <c r="R13" s="263"/>
      <c r="S13" s="263">
        <v>342</v>
      </c>
    </row>
    <row r="14" spans="1:20" ht="20.100000000000001" customHeight="1" x14ac:dyDescent="0.25">
      <c r="A14" s="114" t="s">
        <v>8</v>
      </c>
      <c r="B14" s="263"/>
      <c r="C14" s="114">
        <v>1.3334490060806274</v>
      </c>
      <c r="D14" s="114">
        <v>7.6675829887390137</v>
      </c>
      <c r="E14" s="114">
        <v>1.8301264047622681</v>
      </c>
      <c r="F14" s="114">
        <v>2.8543872833251953</v>
      </c>
      <c r="G14" s="114">
        <v>1.6993310451507568</v>
      </c>
      <c r="H14" s="114">
        <v>1.3782106637954712</v>
      </c>
      <c r="I14" s="114">
        <v>16.763088226318359</v>
      </c>
      <c r="J14" s="114">
        <v>0</v>
      </c>
      <c r="K14" s="114">
        <v>6.6000000000000005</v>
      </c>
      <c r="L14" s="114">
        <v>2.5398619174957275</v>
      </c>
      <c r="M14" s="114">
        <v>20</v>
      </c>
      <c r="N14" s="114"/>
      <c r="O14" s="114">
        <v>3</v>
      </c>
      <c r="P14" s="114">
        <v>3.5</v>
      </c>
      <c r="Q14" s="114">
        <v>7</v>
      </c>
      <c r="R14" s="263"/>
      <c r="S14" s="263">
        <v>27</v>
      </c>
    </row>
    <row r="15" spans="1:20" ht="20.100000000000001" customHeight="1" x14ac:dyDescent="0.25">
      <c r="A15" s="114" t="s">
        <v>20</v>
      </c>
      <c r="B15" s="263"/>
      <c r="C15" s="114">
        <v>4.7913913726806641</v>
      </c>
      <c r="D15" s="114">
        <v>15.067042350769043</v>
      </c>
      <c r="E15" s="114">
        <v>12.526260375976563</v>
      </c>
      <c r="F15" s="114">
        <v>11.51663875579834</v>
      </c>
      <c r="G15" s="114">
        <v>6.7283129692077637</v>
      </c>
      <c r="H15" s="114">
        <v>2.8013870716094971</v>
      </c>
      <c r="I15" s="114">
        <v>53.431034088134766</v>
      </c>
      <c r="J15" s="114">
        <v>0</v>
      </c>
      <c r="K15" s="114">
        <v>7.8000000000000007</v>
      </c>
      <c r="L15" s="114">
        <v>6.8501324653625488</v>
      </c>
      <c r="M15" s="114">
        <v>61</v>
      </c>
      <c r="N15" s="114"/>
      <c r="O15" s="114">
        <v>2.1</v>
      </c>
      <c r="P15" s="114">
        <v>5.1000000000000005</v>
      </c>
      <c r="Q15" s="114">
        <v>13</v>
      </c>
      <c r="R15" s="263"/>
      <c r="S15" s="263">
        <v>74</v>
      </c>
    </row>
    <row r="16" spans="1:20" ht="20.100000000000001" customHeight="1" x14ac:dyDescent="0.25">
      <c r="A16" s="114" t="s">
        <v>42</v>
      </c>
      <c r="B16" s="263"/>
      <c r="C16" s="114">
        <v>15.60484504699707</v>
      </c>
      <c r="D16" s="114">
        <v>153.09823608398438</v>
      </c>
      <c r="E16" s="114">
        <v>67.993118286132813</v>
      </c>
      <c r="F16" s="114">
        <v>77.534782409667969</v>
      </c>
      <c r="G16" s="114">
        <v>34.840080261230469</v>
      </c>
      <c r="H16" s="114">
        <v>23.386074066162109</v>
      </c>
      <c r="I16" s="114">
        <v>372.45712280273438</v>
      </c>
      <c r="J16" s="114">
        <v>5.6000000000000005</v>
      </c>
      <c r="K16" s="114">
        <v>8.4</v>
      </c>
      <c r="L16" s="114">
        <v>45.006801605224609</v>
      </c>
      <c r="M16" s="114">
        <v>418</v>
      </c>
      <c r="N16" s="114"/>
      <c r="O16" s="114">
        <v>16.75</v>
      </c>
      <c r="P16" s="114">
        <v>6.3000000000000007</v>
      </c>
      <c r="Q16" s="114">
        <v>70</v>
      </c>
      <c r="R16" s="263"/>
      <c r="S16" s="263">
        <v>488</v>
      </c>
    </row>
    <row r="17" spans="1:19" ht="20.100000000000001" customHeight="1" x14ac:dyDescent="0.25">
      <c r="A17" s="114" t="s">
        <v>9</v>
      </c>
      <c r="B17" s="263"/>
      <c r="C17" s="114">
        <v>1.7808196544647217</v>
      </c>
      <c r="D17" s="114">
        <v>5.5121111869812012</v>
      </c>
      <c r="E17" s="114">
        <v>1.6234990358352661</v>
      </c>
      <c r="F17" s="114">
        <v>2.5868346691131592</v>
      </c>
      <c r="G17" s="114">
        <v>1.4930541515350342</v>
      </c>
      <c r="H17" s="114">
        <v>0.73431152105331421</v>
      </c>
      <c r="I17" s="114">
        <v>13.730629920959473</v>
      </c>
      <c r="J17" s="114">
        <v>0</v>
      </c>
      <c r="K17" s="114">
        <v>6.6000000000000005</v>
      </c>
      <c r="L17" s="114">
        <v>2.0803985595703125</v>
      </c>
      <c r="M17" s="114">
        <v>16</v>
      </c>
      <c r="N17" s="114"/>
      <c r="O17" s="114">
        <v>6.9</v>
      </c>
      <c r="P17" s="114">
        <v>3.5</v>
      </c>
      <c r="Q17" s="114">
        <v>7</v>
      </c>
      <c r="R17" s="263"/>
      <c r="S17" s="263">
        <v>23</v>
      </c>
    </row>
    <row r="18" spans="1:19" ht="20.100000000000001" customHeight="1" x14ac:dyDescent="0.25">
      <c r="A18" s="114" t="s">
        <v>21</v>
      </c>
      <c r="B18" s="263"/>
      <c r="C18" s="114">
        <v>3.1076743602752686</v>
      </c>
      <c r="D18" s="114">
        <v>23.697418212890625</v>
      </c>
      <c r="E18" s="114">
        <v>10.086575508117676</v>
      </c>
      <c r="F18" s="114">
        <v>11.762457847595215</v>
      </c>
      <c r="G18" s="114">
        <v>8.3827571868896484</v>
      </c>
      <c r="H18" s="114">
        <v>4.1133008003234863</v>
      </c>
      <c r="I18" s="114">
        <v>61.150184631347656</v>
      </c>
      <c r="J18" s="114">
        <v>0</v>
      </c>
      <c r="K18" s="114">
        <v>7.8000000000000007</v>
      </c>
      <c r="L18" s="114">
        <v>7.8397674560546875</v>
      </c>
      <c r="M18" s="114">
        <v>69</v>
      </c>
      <c r="N18" s="114"/>
      <c r="O18" s="114">
        <v>2.4</v>
      </c>
      <c r="P18" s="114">
        <v>5.1000000000000005</v>
      </c>
      <c r="Q18" s="114">
        <v>14</v>
      </c>
      <c r="R18" s="263"/>
      <c r="S18" s="263">
        <v>83</v>
      </c>
    </row>
    <row r="19" spans="1:19" ht="20.100000000000001" customHeight="1" x14ac:dyDescent="0.25">
      <c r="A19" s="114" t="s">
        <v>22</v>
      </c>
      <c r="B19" s="263"/>
      <c r="C19" s="114">
        <v>12.316268920898438</v>
      </c>
      <c r="D19" s="114">
        <v>20.816127777099609</v>
      </c>
      <c r="E19" s="114">
        <v>9.4287405014038086</v>
      </c>
      <c r="F19" s="114">
        <v>14.557299613952637</v>
      </c>
      <c r="G19" s="114">
        <v>6.2287349700927734</v>
      </c>
      <c r="H19" s="114">
        <v>3.7115850448608398</v>
      </c>
      <c r="I19" s="114">
        <v>67.058753967285156</v>
      </c>
      <c r="J19" s="114">
        <v>1</v>
      </c>
      <c r="K19" s="114">
        <v>7.8000000000000007</v>
      </c>
      <c r="L19" s="114">
        <v>8.7254810333251953</v>
      </c>
      <c r="M19" s="114">
        <v>76</v>
      </c>
      <c r="N19" s="114"/>
      <c r="O19" s="114">
        <v>8.4999999999999982</v>
      </c>
      <c r="P19" s="114">
        <v>5.1000000000000005</v>
      </c>
      <c r="Q19" s="114">
        <v>17</v>
      </c>
      <c r="R19" s="263"/>
      <c r="S19" s="263">
        <v>93</v>
      </c>
    </row>
    <row r="20" spans="1:19" ht="20.100000000000001" customHeight="1" x14ac:dyDescent="0.25">
      <c r="A20" s="114" t="s">
        <v>10</v>
      </c>
      <c r="B20" s="263"/>
      <c r="C20" s="114">
        <v>3.2306368350982666</v>
      </c>
      <c r="D20" s="114">
        <v>5.1630134582519531</v>
      </c>
      <c r="E20" s="114">
        <v>1.0106077194213867</v>
      </c>
      <c r="F20" s="114">
        <v>1.66820228099823</v>
      </c>
      <c r="G20" s="114">
        <v>1.1017446517944336</v>
      </c>
      <c r="H20" s="114">
        <v>0.51398956775665283</v>
      </c>
      <c r="I20" s="114">
        <v>12.688194274902344</v>
      </c>
      <c r="J20" s="114">
        <v>0.5</v>
      </c>
      <c r="K20" s="114">
        <v>6.6000000000000005</v>
      </c>
      <c r="L20" s="114">
        <v>1.9982112646102905</v>
      </c>
      <c r="M20" s="114">
        <v>15</v>
      </c>
      <c r="N20" s="114"/>
      <c r="O20" s="114">
        <v>4.1100000000000003</v>
      </c>
      <c r="P20" s="114">
        <v>3.5</v>
      </c>
      <c r="Q20" s="114">
        <v>6</v>
      </c>
      <c r="R20" s="263"/>
      <c r="S20" s="263">
        <v>21</v>
      </c>
    </row>
    <row r="21" spans="1:19" ht="20.100000000000001" customHeight="1" x14ac:dyDescent="0.25">
      <c r="A21" s="114" t="s">
        <v>43</v>
      </c>
      <c r="B21" s="263"/>
      <c r="C21" s="114">
        <v>17.32722282409668</v>
      </c>
      <c r="D21" s="114">
        <v>167.87263488769531</v>
      </c>
      <c r="E21" s="114">
        <v>60.156291961669922</v>
      </c>
      <c r="F21" s="114">
        <v>73.253562927246094</v>
      </c>
      <c r="G21" s="114">
        <v>36.410442352294922</v>
      </c>
      <c r="H21" s="114">
        <v>20.209804534912109</v>
      </c>
      <c r="I21" s="114">
        <v>375.22994995117188</v>
      </c>
      <c r="J21" s="114">
        <v>14</v>
      </c>
      <c r="K21" s="114">
        <v>8.4</v>
      </c>
      <c r="L21" s="114">
        <v>46.336898803710938</v>
      </c>
      <c r="M21" s="114">
        <v>422</v>
      </c>
      <c r="N21" s="114"/>
      <c r="O21" s="114">
        <v>47</v>
      </c>
      <c r="P21" s="114">
        <v>6.3000000000000007</v>
      </c>
      <c r="Q21" s="114">
        <v>75</v>
      </c>
      <c r="R21" s="263"/>
      <c r="S21" s="263">
        <v>497</v>
      </c>
    </row>
    <row r="22" spans="1:19" ht="20.100000000000001" customHeight="1" x14ac:dyDescent="0.25">
      <c r="A22" s="114" t="s">
        <v>23</v>
      </c>
      <c r="B22" s="263"/>
      <c r="C22" s="114">
        <v>4.4570269584655762</v>
      </c>
      <c r="D22" s="114">
        <v>34.123531341552734</v>
      </c>
      <c r="E22" s="114">
        <v>8.67767333984375</v>
      </c>
      <c r="F22" s="114">
        <v>15.434954643249512</v>
      </c>
      <c r="G22" s="114">
        <v>5.5456571578979492</v>
      </c>
      <c r="H22" s="114">
        <v>4.9462246894836426</v>
      </c>
      <c r="I22" s="114">
        <v>73.185066223144531</v>
      </c>
      <c r="J22" s="114">
        <v>1.6</v>
      </c>
      <c r="K22" s="114">
        <v>7.8000000000000007</v>
      </c>
      <c r="L22" s="114">
        <v>9.5878286361694336</v>
      </c>
      <c r="M22" s="114">
        <v>83</v>
      </c>
      <c r="N22" s="114"/>
      <c r="O22" s="114">
        <v>5.6</v>
      </c>
      <c r="P22" s="114">
        <v>5.1000000000000005</v>
      </c>
      <c r="Q22" s="114">
        <v>18</v>
      </c>
      <c r="R22" s="263"/>
      <c r="S22" s="263">
        <v>101</v>
      </c>
    </row>
    <row r="23" spans="1:19" ht="20.100000000000001" customHeight="1" x14ac:dyDescent="0.25">
      <c r="A23" s="114" t="s">
        <v>24</v>
      </c>
      <c r="B23" s="263"/>
      <c r="C23" s="114">
        <v>1.4768403768539429</v>
      </c>
      <c r="D23" s="114">
        <v>19.763683319091797</v>
      </c>
      <c r="E23" s="114">
        <v>6.9385805130004883</v>
      </c>
      <c r="F23" s="114">
        <v>7.3194217681884766</v>
      </c>
      <c r="G23" s="114">
        <v>5.8916873931884766</v>
      </c>
      <c r="H23" s="114">
        <v>1.0151704549789429</v>
      </c>
      <c r="I23" s="114">
        <v>42.405384063720703</v>
      </c>
      <c r="J23" s="114">
        <v>0.25</v>
      </c>
      <c r="K23" s="114">
        <v>7.8000000000000007</v>
      </c>
      <c r="L23" s="114">
        <v>5.4686388969421387</v>
      </c>
      <c r="M23" s="114">
        <v>48</v>
      </c>
      <c r="N23" s="114"/>
      <c r="O23" s="114">
        <v>1.95</v>
      </c>
      <c r="P23" s="114">
        <v>5.1000000000000005</v>
      </c>
      <c r="Q23" s="114">
        <v>10</v>
      </c>
      <c r="R23" s="263"/>
      <c r="S23" s="263">
        <v>58</v>
      </c>
    </row>
    <row r="24" spans="1:19" ht="20.100000000000001" customHeight="1" x14ac:dyDescent="0.25">
      <c r="A24" s="114" t="s">
        <v>11</v>
      </c>
      <c r="B24" s="263"/>
      <c r="C24" s="114">
        <v>1.6415659189224243</v>
      </c>
      <c r="D24" s="114">
        <v>6.050478458404541</v>
      </c>
      <c r="E24" s="114">
        <v>1.4453094005584717</v>
      </c>
      <c r="F24" s="114">
        <v>2.7153048515319824</v>
      </c>
      <c r="G24" s="114">
        <v>1.3251926898956299</v>
      </c>
      <c r="H24" s="114">
        <v>0.74839907884597778</v>
      </c>
      <c r="I24" s="114">
        <v>13.926250457763672</v>
      </c>
      <c r="J24" s="114">
        <v>0</v>
      </c>
      <c r="K24" s="114">
        <v>6.6000000000000005</v>
      </c>
      <c r="L24" s="114">
        <v>2.1100380420684814</v>
      </c>
      <c r="M24" s="114">
        <v>17</v>
      </c>
      <c r="N24" s="114"/>
      <c r="O24" s="114">
        <v>2.25</v>
      </c>
      <c r="P24" s="114">
        <v>3.5</v>
      </c>
      <c r="Q24" s="114">
        <v>6</v>
      </c>
      <c r="R24" s="263"/>
      <c r="S24" s="263">
        <v>23</v>
      </c>
    </row>
    <row r="25" spans="1:19" ht="20.100000000000001" customHeight="1" x14ac:dyDescent="0.25">
      <c r="A25" s="114" t="s">
        <v>54</v>
      </c>
      <c r="B25" s="263"/>
      <c r="C25" s="114">
        <v>158.65541076660156</v>
      </c>
      <c r="D25" s="114">
        <v>711.7093505859375</v>
      </c>
      <c r="E25" s="114">
        <v>1118.021484375</v>
      </c>
      <c r="F25" s="114">
        <v>683.090576171875</v>
      </c>
      <c r="G25" s="114">
        <v>431.3192138671875</v>
      </c>
      <c r="H25" s="114">
        <v>234.01742553710938</v>
      </c>
      <c r="I25" s="114">
        <v>3336.8134765625</v>
      </c>
      <c r="J25" s="114">
        <v>217</v>
      </c>
      <c r="K25" s="114">
        <v>9.6000000000000014</v>
      </c>
      <c r="L25" s="114">
        <v>370.18890380859375</v>
      </c>
      <c r="M25" s="114">
        <v>3708</v>
      </c>
      <c r="N25" s="114"/>
      <c r="O25" s="114">
        <v>442</v>
      </c>
      <c r="P25" s="114">
        <v>6.3000000000000007</v>
      </c>
      <c r="Q25" s="114">
        <v>659</v>
      </c>
      <c r="R25" s="263"/>
      <c r="S25" s="263">
        <v>4367</v>
      </c>
    </row>
    <row r="26" spans="1:19" ht="20.100000000000001" customHeight="1" x14ac:dyDescent="0.25">
      <c r="A26" s="114" t="s">
        <v>25</v>
      </c>
      <c r="B26" s="263"/>
      <c r="C26" s="114">
        <v>4.5626635551452637</v>
      </c>
      <c r="D26" s="114">
        <v>31.954614639282227</v>
      </c>
      <c r="E26" s="114">
        <v>11.452595710754395</v>
      </c>
      <c r="F26" s="114">
        <v>19.014972686767578</v>
      </c>
      <c r="G26" s="114">
        <v>6.0815072059631348</v>
      </c>
      <c r="H26" s="114">
        <v>5.8979640007019043</v>
      </c>
      <c r="I26" s="114">
        <v>78.964317321777344</v>
      </c>
      <c r="J26" s="114">
        <v>4</v>
      </c>
      <c r="K26" s="114">
        <v>7.8000000000000007</v>
      </c>
      <c r="L26" s="114">
        <v>10.63645076751709</v>
      </c>
      <c r="M26" s="114">
        <v>90</v>
      </c>
      <c r="N26" s="114"/>
      <c r="O26" s="114">
        <v>6.86</v>
      </c>
      <c r="P26" s="114">
        <v>5.1000000000000005</v>
      </c>
      <c r="Q26" s="114">
        <v>19</v>
      </c>
      <c r="R26" s="263"/>
      <c r="S26" s="263">
        <v>109</v>
      </c>
    </row>
    <row r="27" spans="1:19" ht="20.100000000000001" customHeight="1" x14ac:dyDescent="0.25">
      <c r="A27" s="114" t="s">
        <v>26</v>
      </c>
      <c r="B27" s="263"/>
      <c r="C27" s="114">
        <v>9.3481073379516602</v>
      </c>
      <c r="D27" s="114">
        <v>18.435504913330078</v>
      </c>
      <c r="E27" s="114">
        <v>15.197132110595703</v>
      </c>
      <c r="F27" s="114">
        <v>12.037493705749512</v>
      </c>
      <c r="G27" s="114">
        <v>13.801883697509766</v>
      </c>
      <c r="H27" s="114">
        <v>2.1542222499847412</v>
      </c>
      <c r="I27" s="114">
        <v>70.974342346191406</v>
      </c>
      <c r="J27" s="114">
        <v>4.8</v>
      </c>
      <c r="K27" s="114">
        <v>7.8000000000000007</v>
      </c>
      <c r="L27" s="114">
        <v>9.7146596908569336</v>
      </c>
      <c r="M27" s="114">
        <v>81</v>
      </c>
      <c r="N27" s="114"/>
      <c r="O27" s="114">
        <v>7.2</v>
      </c>
      <c r="P27" s="114">
        <v>5.1000000000000005</v>
      </c>
      <c r="Q27" s="114">
        <v>18</v>
      </c>
      <c r="R27" s="263"/>
      <c r="S27" s="263">
        <v>99</v>
      </c>
    </row>
    <row r="28" spans="1:19" ht="20.100000000000001" customHeight="1" x14ac:dyDescent="0.25">
      <c r="A28" s="114" t="s">
        <v>12</v>
      </c>
      <c r="B28" s="263"/>
      <c r="C28" s="114">
        <v>0.53348308801651001</v>
      </c>
      <c r="D28" s="114">
        <v>3.8187055587768555</v>
      </c>
      <c r="E28" s="114">
        <v>0.74718290567398071</v>
      </c>
      <c r="F28" s="114">
        <v>1.1346397399902344</v>
      </c>
      <c r="G28" s="114">
        <v>0.96447193622589111</v>
      </c>
      <c r="H28" s="114">
        <v>0.54347950220108032</v>
      </c>
      <c r="I28" s="114">
        <v>7.7419629096984863</v>
      </c>
      <c r="J28" s="114">
        <v>0</v>
      </c>
      <c r="K28" s="114">
        <v>6.6000000000000005</v>
      </c>
      <c r="L28" s="114">
        <v>1.1730246543884277</v>
      </c>
      <c r="M28" s="114">
        <v>9</v>
      </c>
      <c r="N28" s="114"/>
      <c r="O28" s="114">
        <v>2.3000000000000003</v>
      </c>
      <c r="P28" s="114">
        <v>3.5</v>
      </c>
      <c r="Q28" s="114">
        <v>4</v>
      </c>
      <c r="R28" s="263"/>
      <c r="S28" s="263">
        <v>13</v>
      </c>
    </row>
    <row r="29" spans="1:19" ht="20.100000000000001" customHeight="1" x14ac:dyDescent="0.25">
      <c r="A29" s="114" t="s">
        <v>27</v>
      </c>
      <c r="B29" s="263"/>
      <c r="C29" s="114">
        <v>5.0241274833679199</v>
      </c>
      <c r="D29" s="114">
        <v>19.124382019042969</v>
      </c>
      <c r="E29" s="114">
        <v>6.989692211151123</v>
      </c>
      <c r="F29" s="114">
        <v>7.3144259452819824</v>
      </c>
      <c r="G29" s="114">
        <v>4.4048571586608887</v>
      </c>
      <c r="H29" s="114">
        <v>3.0645768642425537</v>
      </c>
      <c r="I29" s="114">
        <v>45.922061920166016</v>
      </c>
      <c r="J29" s="114">
        <v>0</v>
      </c>
      <c r="K29" s="114">
        <v>7.8000000000000007</v>
      </c>
      <c r="L29" s="114">
        <v>5.887444019317627</v>
      </c>
      <c r="M29" s="114">
        <v>52</v>
      </c>
      <c r="N29" s="114"/>
      <c r="O29" s="114">
        <v>3.4</v>
      </c>
      <c r="P29" s="114">
        <v>5.1000000000000005</v>
      </c>
      <c r="Q29" s="114">
        <v>11</v>
      </c>
      <c r="R29" s="263"/>
      <c r="S29" s="263">
        <v>63</v>
      </c>
    </row>
    <row r="30" spans="1:19" ht="20.100000000000001" customHeight="1" x14ac:dyDescent="0.25">
      <c r="A30" s="114" t="s">
        <v>28</v>
      </c>
      <c r="B30" s="263"/>
      <c r="C30" s="114">
        <v>10.694873809814453</v>
      </c>
      <c r="D30" s="114">
        <v>40.209415435791016</v>
      </c>
      <c r="E30" s="114">
        <v>19.63572883605957</v>
      </c>
      <c r="F30" s="114">
        <v>21.427923202514648</v>
      </c>
      <c r="G30" s="114">
        <v>8.7031993865966797</v>
      </c>
      <c r="H30" s="114">
        <v>7.0735177993774414</v>
      </c>
      <c r="I30" s="114">
        <v>107.74465942382813</v>
      </c>
      <c r="J30" s="114">
        <v>3.5</v>
      </c>
      <c r="K30" s="114">
        <v>7.8000000000000007</v>
      </c>
      <c r="L30" s="114">
        <v>14.26213550567627</v>
      </c>
      <c r="M30" s="114">
        <v>123</v>
      </c>
      <c r="N30" s="114"/>
      <c r="O30" s="114">
        <v>12.5</v>
      </c>
      <c r="P30" s="114">
        <v>5.1000000000000005</v>
      </c>
      <c r="Q30" s="114">
        <v>27</v>
      </c>
      <c r="R30" s="263"/>
      <c r="S30" s="263">
        <v>150</v>
      </c>
    </row>
    <row r="31" spans="1:19" ht="20.100000000000001" customHeight="1" x14ac:dyDescent="0.25">
      <c r="A31" s="114" t="s">
        <v>13</v>
      </c>
      <c r="B31" s="263"/>
      <c r="C31" s="114">
        <v>0.434052973985672</v>
      </c>
      <c r="D31" s="114">
        <v>2.5276222229003906</v>
      </c>
      <c r="E31" s="114">
        <v>0.62300145626068115</v>
      </c>
      <c r="F31" s="114">
        <v>1.2274857759475708</v>
      </c>
      <c r="G31" s="114">
        <v>0.99379128217697144</v>
      </c>
      <c r="H31" s="114">
        <v>0.44307053089141846</v>
      </c>
      <c r="I31" s="114">
        <v>6.2490243911743164</v>
      </c>
      <c r="J31" s="114">
        <v>0</v>
      </c>
      <c r="K31" s="114">
        <v>6.6000000000000005</v>
      </c>
      <c r="L31" s="114">
        <v>0.94682186841964722</v>
      </c>
      <c r="M31" s="114">
        <v>8</v>
      </c>
      <c r="N31" s="114"/>
      <c r="O31" s="114">
        <v>1.7999999999999998</v>
      </c>
      <c r="P31" s="114">
        <v>3.5</v>
      </c>
      <c r="Q31" s="114">
        <v>3</v>
      </c>
      <c r="R31" s="263"/>
      <c r="S31" s="263">
        <v>11</v>
      </c>
    </row>
    <row r="32" spans="1:19" ht="20.100000000000001" customHeight="1" x14ac:dyDescent="0.25">
      <c r="A32" s="114" t="s">
        <v>14</v>
      </c>
      <c r="B32" s="263"/>
      <c r="C32" s="114">
        <v>2.1314754486083984</v>
      </c>
      <c r="D32" s="114">
        <v>2.1013216972351074</v>
      </c>
      <c r="E32" s="114">
        <v>0.81920152902603149</v>
      </c>
      <c r="F32" s="114">
        <v>0.6853402853012085</v>
      </c>
      <c r="G32" s="114">
        <v>0.53494423627853394</v>
      </c>
      <c r="H32" s="114">
        <v>0.16774202883243561</v>
      </c>
      <c r="I32" s="114">
        <v>6.4400253295898438</v>
      </c>
      <c r="J32" s="114">
        <v>0.65</v>
      </c>
      <c r="K32" s="114">
        <v>6.6000000000000005</v>
      </c>
      <c r="L32" s="114">
        <v>1.0742462873458862</v>
      </c>
      <c r="M32" s="114">
        <v>8</v>
      </c>
      <c r="N32" s="114"/>
      <c r="O32" s="114">
        <v>1.6500000000000001</v>
      </c>
      <c r="P32" s="114">
        <v>3.5</v>
      </c>
      <c r="Q32" s="114">
        <v>3</v>
      </c>
      <c r="R32" s="263"/>
      <c r="S32" s="263">
        <v>11</v>
      </c>
    </row>
    <row r="33" spans="1:19" ht="20.100000000000001" customHeight="1" x14ac:dyDescent="0.25">
      <c r="A33" s="114" t="s">
        <v>44</v>
      </c>
      <c r="B33" s="263"/>
      <c r="C33" s="114">
        <v>11.272059440612793</v>
      </c>
      <c r="D33" s="114">
        <v>63.873886108398438</v>
      </c>
      <c r="E33" s="114">
        <v>24.815902709960938</v>
      </c>
      <c r="F33" s="114">
        <v>26.561691284179688</v>
      </c>
      <c r="G33" s="114">
        <v>15.027242660522461</v>
      </c>
      <c r="H33" s="114">
        <v>7.0693306922912598</v>
      </c>
      <c r="I33" s="114">
        <v>148.6201171875</v>
      </c>
      <c r="J33" s="114">
        <v>7.5</v>
      </c>
      <c r="K33" s="114">
        <v>8.4</v>
      </c>
      <c r="L33" s="114">
        <v>18.585727691650391</v>
      </c>
      <c r="M33" s="114">
        <v>168</v>
      </c>
      <c r="N33" s="114"/>
      <c r="O33" s="114">
        <v>12.7</v>
      </c>
      <c r="P33" s="114">
        <v>6.3000000000000007</v>
      </c>
      <c r="Q33" s="114">
        <v>29</v>
      </c>
      <c r="R33" s="263"/>
      <c r="S33" s="263">
        <v>197</v>
      </c>
    </row>
    <row r="34" spans="1:19" ht="20.100000000000001" customHeight="1" x14ac:dyDescent="0.25">
      <c r="A34" s="114" t="s">
        <v>29</v>
      </c>
      <c r="B34" s="263"/>
      <c r="C34" s="114">
        <v>4.0212931632995605</v>
      </c>
      <c r="D34" s="114">
        <v>16.05305290222168</v>
      </c>
      <c r="E34" s="114">
        <v>9.5262985229492188</v>
      </c>
      <c r="F34" s="114">
        <v>8.2419099807739258</v>
      </c>
      <c r="G34" s="114">
        <v>7.2022976875305176</v>
      </c>
      <c r="H34" s="114">
        <v>2.1454412937164307</v>
      </c>
      <c r="I34" s="114">
        <v>47.190292358398438</v>
      </c>
      <c r="J34" s="114">
        <v>1</v>
      </c>
      <c r="K34" s="114">
        <v>7.8000000000000007</v>
      </c>
      <c r="L34" s="114">
        <v>6.1782426834106445</v>
      </c>
      <c r="M34" s="114">
        <v>54</v>
      </c>
      <c r="N34" s="114"/>
      <c r="O34" s="114">
        <v>3.5</v>
      </c>
      <c r="P34" s="114">
        <v>5.1000000000000005</v>
      </c>
      <c r="Q34" s="114">
        <v>12</v>
      </c>
      <c r="R34" s="263"/>
      <c r="S34" s="263">
        <v>66</v>
      </c>
    </row>
    <row r="35" spans="1:19" ht="20.100000000000001" customHeight="1" x14ac:dyDescent="0.25">
      <c r="A35" s="114" t="s">
        <v>30</v>
      </c>
      <c r="B35" s="263"/>
      <c r="C35" s="114">
        <v>3.0108304023742676</v>
      </c>
      <c r="D35" s="114">
        <v>9.6012001037597656</v>
      </c>
      <c r="E35" s="114">
        <v>7.6978840827941895</v>
      </c>
      <c r="F35" s="114">
        <v>7.5530529022216797</v>
      </c>
      <c r="G35" s="114">
        <v>4.7509670257568359</v>
      </c>
      <c r="H35" s="114">
        <v>1.0014458894729614</v>
      </c>
      <c r="I35" s="114">
        <v>33.615379333496094</v>
      </c>
      <c r="J35" s="114">
        <v>0.25</v>
      </c>
      <c r="K35" s="114">
        <v>7.8000000000000007</v>
      </c>
      <c r="L35" s="114">
        <v>4.3417153358459473</v>
      </c>
      <c r="M35" s="114">
        <v>38</v>
      </c>
      <c r="N35" s="114"/>
      <c r="O35" s="114">
        <v>5.85</v>
      </c>
      <c r="P35" s="114">
        <v>5.1000000000000005</v>
      </c>
      <c r="Q35" s="114">
        <v>9</v>
      </c>
      <c r="R35" s="263"/>
      <c r="S35" s="263">
        <v>47</v>
      </c>
    </row>
    <row r="36" spans="1:19" ht="20.100000000000001" customHeight="1" x14ac:dyDescent="0.25">
      <c r="A36" s="114" t="s">
        <v>55</v>
      </c>
      <c r="B36" s="263"/>
      <c r="C36" s="114">
        <v>48.3875732421875</v>
      </c>
      <c r="D36" s="114">
        <v>382.27700805664063</v>
      </c>
      <c r="E36" s="114">
        <v>266.826904296875</v>
      </c>
      <c r="F36" s="114">
        <v>174.26908874511719</v>
      </c>
      <c r="G36" s="114">
        <v>86.649848937988281</v>
      </c>
      <c r="H36" s="114">
        <v>42.644680023193359</v>
      </c>
      <c r="I36" s="114">
        <v>1001.0551147460938</v>
      </c>
      <c r="J36" s="114">
        <v>53.937500000000007</v>
      </c>
      <c r="K36" s="114">
        <v>9.6000000000000014</v>
      </c>
      <c r="L36" s="114">
        <v>109.89506530761719</v>
      </c>
      <c r="M36" s="114">
        <v>1111</v>
      </c>
      <c r="N36" s="114"/>
      <c r="O36" s="114">
        <v>167.1875</v>
      </c>
      <c r="P36" s="114">
        <v>6.3000000000000007</v>
      </c>
      <c r="Q36" s="114">
        <v>203</v>
      </c>
      <c r="R36" s="263"/>
      <c r="S36" s="263">
        <v>1314</v>
      </c>
    </row>
    <row r="37" spans="1:19" ht="20.100000000000001" customHeight="1" x14ac:dyDescent="0.25">
      <c r="A37" s="114" t="s">
        <v>31</v>
      </c>
      <c r="B37" s="263"/>
      <c r="C37" s="114">
        <v>8.2466182708740234</v>
      </c>
      <c r="D37" s="114">
        <v>46.078487396240234</v>
      </c>
      <c r="E37" s="114">
        <v>25.249601364135742</v>
      </c>
      <c r="F37" s="114">
        <v>24.710397720336914</v>
      </c>
      <c r="G37" s="114">
        <v>15.288729667663574</v>
      </c>
      <c r="H37" s="114">
        <v>4.9040889739990234</v>
      </c>
      <c r="I37" s="114">
        <v>124.47792053222656</v>
      </c>
      <c r="J37" s="114">
        <v>2.5</v>
      </c>
      <c r="K37" s="114">
        <v>7.8000000000000007</v>
      </c>
      <c r="L37" s="114">
        <v>16.279220581054688</v>
      </c>
      <c r="M37" s="114">
        <v>141</v>
      </c>
      <c r="N37" s="114"/>
      <c r="O37" s="114">
        <v>7</v>
      </c>
      <c r="P37" s="114">
        <v>5.1000000000000005</v>
      </c>
      <c r="Q37" s="114">
        <v>30</v>
      </c>
      <c r="R37" s="263"/>
      <c r="S37" s="263">
        <v>171</v>
      </c>
    </row>
    <row r="38" spans="1:19" ht="20.100000000000001" customHeight="1" x14ac:dyDescent="0.25">
      <c r="A38" s="114" t="s">
        <v>15</v>
      </c>
      <c r="B38" s="263"/>
      <c r="C38" s="114">
        <v>0.68463224172592163</v>
      </c>
      <c r="D38" s="114">
        <v>2.2915730476379395</v>
      </c>
      <c r="E38" s="114">
        <v>1.3639894723892212</v>
      </c>
      <c r="F38" s="114">
        <v>1.5125324726104736</v>
      </c>
      <c r="G38" s="114">
        <v>1.312230110168457</v>
      </c>
      <c r="H38" s="114">
        <v>0.5328446626663208</v>
      </c>
      <c r="I38" s="114">
        <v>7.6978020668029785</v>
      </c>
      <c r="J38" s="114">
        <v>0.05</v>
      </c>
      <c r="K38" s="114">
        <v>6.6000000000000005</v>
      </c>
      <c r="L38" s="114">
        <v>1.1739094257354736</v>
      </c>
      <c r="M38" s="114">
        <v>9</v>
      </c>
      <c r="N38" s="114"/>
      <c r="O38" s="114">
        <v>2.0499999999999998</v>
      </c>
      <c r="P38" s="114">
        <v>3.5</v>
      </c>
      <c r="Q38" s="114">
        <v>4</v>
      </c>
      <c r="R38" s="263"/>
      <c r="S38" s="263">
        <v>13</v>
      </c>
    </row>
    <row r="39" spans="1:19" ht="20.100000000000001" customHeight="1" x14ac:dyDescent="0.25">
      <c r="A39" s="114" t="s">
        <v>56</v>
      </c>
      <c r="B39" s="263"/>
      <c r="C39" s="114">
        <v>36.612319946289063</v>
      </c>
      <c r="D39" s="114">
        <v>270.91354370117188</v>
      </c>
      <c r="E39" s="114">
        <v>193.40071105957031</v>
      </c>
      <c r="F39" s="114">
        <v>176.24763488769531</v>
      </c>
      <c r="G39" s="114">
        <v>88.037391662597656</v>
      </c>
      <c r="H39" s="114">
        <v>53.279396057128906</v>
      </c>
      <c r="I39" s="114">
        <v>818.490966796875</v>
      </c>
      <c r="J39" s="114">
        <v>34.919999999999987</v>
      </c>
      <c r="K39" s="114">
        <v>9.6000000000000014</v>
      </c>
      <c r="L39" s="114">
        <v>88.89697265625</v>
      </c>
      <c r="M39" s="114">
        <v>908</v>
      </c>
      <c r="N39" s="114"/>
      <c r="O39" s="114">
        <v>117.91999999999999</v>
      </c>
      <c r="P39" s="114">
        <v>6.3000000000000007</v>
      </c>
      <c r="Q39" s="114">
        <v>163</v>
      </c>
      <c r="R39" s="263"/>
      <c r="S39" s="263">
        <v>1071</v>
      </c>
    </row>
    <row r="40" spans="1:19" ht="20.100000000000001" customHeight="1" x14ac:dyDescent="0.25">
      <c r="A40" s="114" t="s">
        <v>57</v>
      </c>
      <c r="B40" s="263"/>
      <c r="C40" s="114">
        <v>23.137298583984375</v>
      </c>
      <c r="D40" s="114">
        <v>181.19256591796875</v>
      </c>
      <c r="E40" s="114">
        <v>145.33253479003906</v>
      </c>
      <c r="F40" s="114">
        <v>106.47444152832031</v>
      </c>
      <c r="G40" s="114">
        <v>61.739139556884766</v>
      </c>
      <c r="H40" s="114">
        <v>17.313234329223633</v>
      </c>
      <c r="I40" s="114">
        <v>535.189208984375</v>
      </c>
      <c r="J40" s="114">
        <v>24.220000000000002</v>
      </c>
      <c r="K40" s="114">
        <v>9.6000000000000014</v>
      </c>
      <c r="L40" s="114">
        <v>58.271793365478516</v>
      </c>
      <c r="M40" s="114">
        <v>594</v>
      </c>
      <c r="N40" s="114"/>
      <c r="O40" s="114">
        <v>61.56</v>
      </c>
      <c r="P40" s="114">
        <v>6.3000000000000007</v>
      </c>
      <c r="Q40" s="114">
        <v>105</v>
      </c>
      <c r="R40" s="263"/>
      <c r="S40" s="263">
        <v>699</v>
      </c>
    </row>
    <row r="41" spans="1:19" ht="20.100000000000001" customHeight="1" x14ac:dyDescent="0.25">
      <c r="A41" s="114" t="s">
        <v>16</v>
      </c>
      <c r="B41" s="263"/>
      <c r="C41" s="114">
        <v>1.7369877099990845</v>
      </c>
      <c r="D41" s="114">
        <v>7.9998631477355957</v>
      </c>
      <c r="E41" s="114">
        <v>3.5805518627166748</v>
      </c>
      <c r="F41" s="114">
        <v>4.5367650985717773</v>
      </c>
      <c r="G41" s="114">
        <v>2.0288407802581787</v>
      </c>
      <c r="H41" s="114">
        <v>1.1031267642974854</v>
      </c>
      <c r="I41" s="114">
        <v>20.986135482788086</v>
      </c>
      <c r="J41" s="114">
        <v>0</v>
      </c>
      <c r="K41" s="114">
        <v>6.6000000000000005</v>
      </c>
      <c r="L41" s="114">
        <v>3.1797175407409668</v>
      </c>
      <c r="M41" s="114">
        <v>25</v>
      </c>
      <c r="N41" s="114"/>
      <c r="O41" s="114">
        <v>1.25</v>
      </c>
      <c r="P41" s="114">
        <v>3.5</v>
      </c>
      <c r="Q41" s="114">
        <v>8</v>
      </c>
      <c r="R41" s="263"/>
      <c r="S41" s="263">
        <v>33</v>
      </c>
    </row>
    <row r="42" spans="1:19" ht="20.100000000000001" customHeight="1" x14ac:dyDescent="0.25">
      <c r="A42" s="114" t="s">
        <v>58</v>
      </c>
      <c r="B42" s="263"/>
      <c r="C42" s="114">
        <v>29.058908462524414</v>
      </c>
      <c r="D42" s="114">
        <v>298.55828857421875</v>
      </c>
      <c r="E42" s="114">
        <v>190.7017822265625</v>
      </c>
      <c r="F42" s="114">
        <v>183.69718933105469</v>
      </c>
      <c r="G42" s="114">
        <v>90.972511291503906</v>
      </c>
      <c r="H42" s="114">
        <v>55.809795379638672</v>
      </c>
      <c r="I42" s="114">
        <v>848.7984619140625</v>
      </c>
      <c r="J42" s="114">
        <v>40</v>
      </c>
      <c r="K42" s="114">
        <v>9.6000000000000014</v>
      </c>
      <c r="L42" s="114">
        <v>92.583175659179688</v>
      </c>
      <c r="M42" s="114">
        <v>942</v>
      </c>
      <c r="N42" s="114"/>
      <c r="O42" s="114">
        <v>103.94923076923077</v>
      </c>
      <c r="P42" s="114">
        <v>6.3000000000000007</v>
      </c>
      <c r="Q42" s="114">
        <v>167</v>
      </c>
      <c r="R42" s="263"/>
      <c r="S42" s="263">
        <v>1109</v>
      </c>
    </row>
    <row r="43" spans="1:19" ht="20.100000000000001" customHeight="1" x14ac:dyDescent="0.25">
      <c r="A43" s="114" t="s">
        <v>59</v>
      </c>
      <c r="B43" s="263"/>
      <c r="C43" s="114">
        <v>35.287059783935547</v>
      </c>
      <c r="D43" s="114">
        <v>239.07075500488281</v>
      </c>
      <c r="E43" s="114">
        <v>257.78286743164063</v>
      </c>
      <c r="F43" s="114">
        <v>215.99455261230469</v>
      </c>
      <c r="G43" s="114">
        <v>84.472496032714844</v>
      </c>
      <c r="H43" s="114">
        <v>22.870059967041016</v>
      </c>
      <c r="I43" s="114">
        <v>855.477783203125</v>
      </c>
      <c r="J43" s="114">
        <v>25.7</v>
      </c>
      <c r="K43" s="114">
        <v>9.6000000000000014</v>
      </c>
      <c r="L43" s="114">
        <v>91.789352416992188</v>
      </c>
      <c r="M43" s="114">
        <v>948</v>
      </c>
      <c r="N43" s="114"/>
      <c r="O43" s="114">
        <v>78.809999999999988</v>
      </c>
      <c r="P43" s="114">
        <v>6.3000000000000007</v>
      </c>
      <c r="Q43" s="114">
        <v>163</v>
      </c>
      <c r="R43" s="263"/>
      <c r="S43" s="263">
        <v>1111</v>
      </c>
    </row>
    <row r="44" spans="1:19" ht="20.100000000000001" customHeight="1" x14ac:dyDescent="0.25">
      <c r="A44" s="114" t="s">
        <v>60</v>
      </c>
      <c r="B44" s="263"/>
      <c r="C44" s="114">
        <v>7.1380324363708496</v>
      </c>
      <c r="D44" s="114">
        <v>54.711307525634766</v>
      </c>
      <c r="E44" s="114">
        <v>79.076766967773438</v>
      </c>
      <c r="F44" s="114">
        <v>33.155464172363281</v>
      </c>
      <c r="G44" s="114">
        <v>27.10113525390625</v>
      </c>
      <c r="H44" s="114">
        <v>9.5789012908935547</v>
      </c>
      <c r="I44" s="114">
        <v>210.76161193847656</v>
      </c>
      <c r="J44" s="114">
        <v>0</v>
      </c>
      <c r="K44" s="114">
        <v>8.4</v>
      </c>
      <c r="L44" s="114">
        <v>25.090667724609375</v>
      </c>
      <c r="M44" s="114">
        <v>236</v>
      </c>
      <c r="N44" s="114"/>
      <c r="O44" s="114">
        <v>29.1</v>
      </c>
      <c r="P44" s="114">
        <v>6.3000000000000007</v>
      </c>
      <c r="Q44" s="114">
        <v>43</v>
      </c>
      <c r="R44" s="263"/>
      <c r="S44" s="263">
        <v>279</v>
      </c>
    </row>
    <row r="45" spans="1:19" ht="20.100000000000001" customHeight="1" x14ac:dyDescent="0.25">
      <c r="A45" s="114" t="s">
        <v>45</v>
      </c>
      <c r="B45" s="263"/>
      <c r="C45" s="114">
        <v>18.13170051574707</v>
      </c>
      <c r="D45" s="114">
        <v>103.79364013671875</v>
      </c>
      <c r="E45" s="114">
        <v>55.048603057861328</v>
      </c>
      <c r="F45" s="114">
        <v>52.607002258300781</v>
      </c>
      <c r="G45" s="114">
        <v>29.726160049438477</v>
      </c>
      <c r="H45" s="114">
        <v>16.336397171020508</v>
      </c>
      <c r="I45" s="114">
        <v>275.64349365234375</v>
      </c>
      <c r="J45" s="114">
        <v>4</v>
      </c>
      <c r="K45" s="114">
        <v>8.4</v>
      </c>
      <c r="L45" s="114">
        <v>33.2908935546875</v>
      </c>
      <c r="M45" s="114">
        <v>309</v>
      </c>
      <c r="N45" s="114"/>
      <c r="O45" s="114">
        <v>9.89</v>
      </c>
      <c r="P45" s="114">
        <v>6.3000000000000007</v>
      </c>
      <c r="Q45" s="114">
        <v>51</v>
      </c>
      <c r="R45" s="263"/>
      <c r="S45" s="263">
        <v>360</v>
      </c>
    </row>
    <row r="46" spans="1:19" ht="20.100000000000001" customHeight="1" x14ac:dyDescent="0.25">
      <c r="A46" s="114" t="s">
        <v>32</v>
      </c>
      <c r="B46" s="263"/>
      <c r="C46" s="114">
        <v>11.226287841796875</v>
      </c>
      <c r="D46" s="114">
        <v>44.705848693847656</v>
      </c>
      <c r="E46" s="114">
        <v>13.838603019714355</v>
      </c>
      <c r="F46" s="114">
        <v>13.694400787353516</v>
      </c>
      <c r="G46" s="114">
        <v>11.914534568786621</v>
      </c>
      <c r="H46" s="114">
        <v>3.7344048023223877</v>
      </c>
      <c r="I46" s="114">
        <v>99.114082336425781</v>
      </c>
      <c r="J46" s="114">
        <v>5</v>
      </c>
      <c r="K46" s="114">
        <v>7.8000000000000007</v>
      </c>
      <c r="L46" s="114">
        <v>13.347959518432617</v>
      </c>
      <c r="M46" s="114">
        <v>113</v>
      </c>
      <c r="N46" s="114"/>
      <c r="O46" s="114">
        <v>8</v>
      </c>
      <c r="P46" s="114">
        <v>5.1000000000000005</v>
      </c>
      <c r="Q46" s="114">
        <v>24</v>
      </c>
      <c r="R46" s="263"/>
      <c r="S46" s="263">
        <v>137</v>
      </c>
    </row>
    <row r="47" spans="1:19" ht="20.100000000000001" customHeight="1" x14ac:dyDescent="0.25">
      <c r="A47" s="114" t="s">
        <v>46</v>
      </c>
      <c r="B47" s="263"/>
      <c r="C47" s="114">
        <v>14.544574737548828</v>
      </c>
      <c r="D47" s="114">
        <v>72.68780517578125</v>
      </c>
      <c r="E47" s="114">
        <v>38.721988677978516</v>
      </c>
      <c r="F47" s="114">
        <v>28.08885383605957</v>
      </c>
      <c r="G47" s="114">
        <v>30.315561294555664</v>
      </c>
      <c r="H47" s="114">
        <v>4.95416259765625</v>
      </c>
      <c r="I47" s="114">
        <v>189.31294250488281</v>
      </c>
      <c r="J47" s="114">
        <v>9.5</v>
      </c>
      <c r="K47" s="114">
        <v>8.4</v>
      </c>
      <c r="L47" s="114">
        <v>23.668207168579102</v>
      </c>
      <c r="M47" s="114">
        <v>213</v>
      </c>
      <c r="N47" s="114"/>
      <c r="O47" s="114">
        <v>17.5</v>
      </c>
      <c r="P47" s="114">
        <v>6.3000000000000007</v>
      </c>
      <c r="Q47" s="114">
        <v>37</v>
      </c>
      <c r="R47" s="263"/>
      <c r="S47" s="263">
        <v>250</v>
      </c>
    </row>
    <row r="48" spans="1:19" ht="20.100000000000001" customHeight="1" x14ac:dyDescent="0.25">
      <c r="A48" s="114" t="s">
        <v>47</v>
      </c>
      <c r="B48" s="263"/>
      <c r="C48" s="114">
        <v>13.463141441345215</v>
      </c>
      <c r="D48" s="114">
        <v>55.832527160644531</v>
      </c>
      <c r="E48" s="114">
        <v>24.712253570556641</v>
      </c>
      <c r="F48" s="114">
        <v>21.685935974121094</v>
      </c>
      <c r="G48" s="114">
        <v>15.758612632751465</v>
      </c>
      <c r="H48" s="114">
        <v>7.9850645065307617</v>
      </c>
      <c r="I48" s="114">
        <v>139.43753051757813</v>
      </c>
      <c r="J48" s="114">
        <v>12.15</v>
      </c>
      <c r="K48" s="114">
        <v>8.4</v>
      </c>
      <c r="L48" s="114">
        <v>18.046134948730469</v>
      </c>
      <c r="M48" s="114">
        <v>158</v>
      </c>
      <c r="N48" s="114"/>
      <c r="O48" s="114">
        <v>20.149999999999999</v>
      </c>
      <c r="P48" s="114">
        <v>6.3000000000000007</v>
      </c>
      <c r="Q48" s="114">
        <v>29</v>
      </c>
      <c r="R48" s="263"/>
      <c r="S48" s="263">
        <v>187</v>
      </c>
    </row>
    <row r="49" spans="1:19" ht="20.100000000000001" customHeight="1" x14ac:dyDescent="0.25">
      <c r="A49" s="114" t="s">
        <v>61</v>
      </c>
      <c r="B49" s="263"/>
      <c r="C49" s="114">
        <v>20.588653564453125</v>
      </c>
      <c r="D49" s="114">
        <v>146.23561096191406</v>
      </c>
      <c r="E49" s="114">
        <v>107.54135131835938</v>
      </c>
      <c r="F49" s="114">
        <v>75.837242126464844</v>
      </c>
      <c r="G49" s="114">
        <v>51.788501739501953</v>
      </c>
      <c r="H49" s="114">
        <v>10.946987152099609</v>
      </c>
      <c r="I49" s="114">
        <v>412.9383544921875</v>
      </c>
      <c r="J49" s="114">
        <v>15.5</v>
      </c>
      <c r="K49" s="114">
        <v>9.6000000000000014</v>
      </c>
      <c r="L49" s="114">
        <v>44.628993988037109</v>
      </c>
      <c r="M49" s="114">
        <v>458</v>
      </c>
      <c r="N49" s="114"/>
      <c r="O49" s="114">
        <v>28.050000000000004</v>
      </c>
      <c r="P49" s="114">
        <v>6.3000000000000007</v>
      </c>
      <c r="Q49" s="114">
        <v>78</v>
      </c>
      <c r="R49" s="263"/>
      <c r="S49" s="263">
        <v>536</v>
      </c>
    </row>
    <row r="50" spans="1:19" ht="20.100000000000001" customHeight="1" x14ac:dyDescent="0.25">
      <c r="A50" s="114" t="s">
        <v>33</v>
      </c>
      <c r="B50" s="263"/>
      <c r="C50" s="114">
        <v>7.5114307403564453</v>
      </c>
      <c r="D50" s="114">
        <v>33.299888610839844</v>
      </c>
      <c r="E50" s="114">
        <v>14.622256278991699</v>
      </c>
      <c r="F50" s="114">
        <v>12.357337951660156</v>
      </c>
      <c r="G50" s="114">
        <v>8.9784317016601563</v>
      </c>
      <c r="H50" s="114">
        <v>2.9925525188446045</v>
      </c>
      <c r="I50" s="114">
        <v>79.761894226074219</v>
      </c>
      <c r="J50" s="114">
        <v>2.1923076923076925</v>
      </c>
      <c r="K50" s="114">
        <v>7.8000000000000007</v>
      </c>
      <c r="L50" s="114">
        <v>10.506949424743652</v>
      </c>
      <c r="M50" s="114">
        <v>91</v>
      </c>
      <c r="N50" s="114"/>
      <c r="O50" s="114">
        <v>15.426307692307692</v>
      </c>
      <c r="P50" s="114">
        <v>5.1000000000000005</v>
      </c>
      <c r="Q50" s="114">
        <v>21</v>
      </c>
      <c r="R50" s="263"/>
      <c r="S50" s="263">
        <v>112</v>
      </c>
    </row>
    <row r="51" spans="1:19" ht="20.100000000000001" customHeight="1" x14ac:dyDescent="0.25">
      <c r="A51" s="114" t="s">
        <v>34</v>
      </c>
      <c r="B51" s="263"/>
      <c r="C51" s="114">
        <v>10.741938591003418</v>
      </c>
      <c r="D51" s="114">
        <v>45.068790435791016</v>
      </c>
      <c r="E51" s="114">
        <v>15.134579658508301</v>
      </c>
      <c r="F51" s="114">
        <v>18.174346923828125</v>
      </c>
      <c r="G51" s="114">
        <v>12.546383857727051</v>
      </c>
      <c r="H51" s="114">
        <v>5.1143465042114258</v>
      </c>
      <c r="I51" s="114">
        <v>106.78038787841797</v>
      </c>
      <c r="J51" s="114">
        <v>1</v>
      </c>
      <c r="K51" s="114">
        <v>7.8000000000000007</v>
      </c>
      <c r="L51" s="114">
        <v>13.817998886108398</v>
      </c>
      <c r="M51" s="114">
        <v>121</v>
      </c>
      <c r="N51" s="114"/>
      <c r="O51" s="114">
        <v>51</v>
      </c>
      <c r="P51" s="114">
        <v>5.1000000000000005</v>
      </c>
      <c r="Q51" s="114">
        <v>34</v>
      </c>
      <c r="R51" s="263"/>
      <c r="S51" s="263">
        <v>155</v>
      </c>
    </row>
    <row r="52" spans="1:19" ht="20.100000000000001" customHeight="1" x14ac:dyDescent="0.25">
      <c r="A52" s="114" t="s">
        <v>17</v>
      </c>
      <c r="B52" s="263"/>
      <c r="C52" s="114">
        <v>0.15619182586669922</v>
      </c>
      <c r="D52" s="114">
        <v>0.59208947420120239</v>
      </c>
      <c r="E52" s="114">
        <v>0.17530269920825958</v>
      </c>
      <c r="F52" s="114">
        <v>0.20536758005619049</v>
      </c>
      <c r="G52" s="114">
        <v>0.24954192340373993</v>
      </c>
      <c r="H52" s="114">
        <v>0.12512968480587006</v>
      </c>
      <c r="I52" s="114">
        <v>1.5036232471466064</v>
      </c>
      <c r="J52" s="114">
        <v>0</v>
      </c>
      <c r="K52" s="114">
        <v>6.6000000000000005</v>
      </c>
      <c r="L52" s="114">
        <v>0.2278217077255249</v>
      </c>
      <c r="M52" s="114">
        <v>2</v>
      </c>
      <c r="N52" s="114"/>
      <c r="O52" s="114">
        <v>1.85</v>
      </c>
      <c r="P52" s="114">
        <v>3.5</v>
      </c>
      <c r="Q52" s="114">
        <v>2</v>
      </c>
      <c r="R52" s="263"/>
      <c r="S52" s="263">
        <v>4</v>
      </c>
    </row>
    <row r="53" spans="1:19" ht="20.100000000000001" customHeight="1" x14ac:dyDescent="0.25">
      <c r="A53" s="114" t="s">
        <v>35</v>
      </c>
      <c r="B53" s="263"/>
      <c r="C53" s="114">
        <v>3.3327820301055908</v>
      </c>
      <c r="D53" s="114">
        <v>10.81482982635498</v>
      </c>
      <c r="E53" s="114">
        <v>3.5607469081878662</v>
      </c>
      <c r="F53" s="114">
        <v>4.2746272087097168</v>
      </c>
      <c r="G53" s="114">
        <v>4.1807169914245605</v>
      </c>
      <c r="H53" s="114">
        <v>1.0790425539016724</v>
      </c>
      <c r="I53" s="114">
        <v>27.242746353149414</v>
      </c>
      <c r="J53" s="114">
        <v>0.05</v>
      </c>
      <c r="K53" s="114">
        <v>7.8000000000000007</v>
      </c>
      <c r="L53" s="114">
        <v>3.4990699291229248</v>
      </c>
      <c r="M53" s="114">
        <v>31</v>
      </c>
      <c r="N53" s="114"/>
      <c r="O53" s="114">
        <v>4.7</v>
      </c>
      <c r="P53" s="114">
        <v>5.1000000000000005</v>
      </c>
      <c r="Q53" s="114">
        <v>7</v>
      </c>
      <c r="R53" s="263"/>
      <c r="S53" s="263">
        <v>38</v>
      </c>
    </row>
    <row r="54" spans="1:19" ht="20.100000000000001" customHeight="1" x14ac:dyDescent="0.25">
      <c r="A54" s="114" t="s">
        <v>48</v>
      </c>
      <c r="B54" s="263"/>
      <c r="C54" s="114">
        <v>12.331656455993652</v>
      </c>
      <c r="D54" s="114">
        <v>40.034130096435547</v>
      </c>
      <c r="E54" s="114">
        <v>33.599090576171875</v>
      </c>
      <c r="F54" s="114">
        <v>33.843959808349609</v>
      </c>
      <c r="G54" s="114">
        <v>16.054752349853516</v>
      </c>
      <c r="H54" s="114">
        <v>4.3499841690063477</v>
      </c>
      <c r="I54" s="114">
        <v>140.21357727050781</v>
      </c>
      <c r="J54" s="114">
        <v>3</v>
      </c>
      <c r="K54" s="114">
        <v>8.4</v>
      </c>
      <c r="L54" s="114">
        <v>17.049236297607422</v>
      </c>
      <c r="M54" s="114">
        <v>158</v>
      </c>
      <c r="N54" s="114"/>
      <c r="O54" s="114">
        <v>8</v>
      </c>
      <c r="P54" s="114">
        <v>6.3000000000000007</v>
      </c>
      <c r="Q54" s="114">
        <v>27</v>
      </c>
      <c r="R54" s="263"/>
      <c r="S54" s="263">
        <v>185</v>
      </c>
    </row>
    <row r="55" spans="1:19" ht="20.100000000000001" customHeight="1" x14ac:dyDescent="0.25">
      <c r="A55" s="114" t="s">
        <v>49</v>
      </c>
      <c r="B55" s="263"/>
      <c r="C55" s="114">
        <v>11.314727783203125</v>
      </c>
      <c r="D55" s="114">
        <v>52.606708526611328</v>
      </c>
      <c r="E55" s="114">
        <v>28.893501281738281</v>
      </c>
      <c r="F55" s="114">
        <v>23.844478607177734</v>
      </c>
      <c r="G55" s="114">
        <v>19.555936813354492</v>
      </c>
      <c r="H55" s="114">
        <v>6.8965506553649902</v>
      </c>
      <c r="I55" s="114">
        <v>143.11190795898438</v>
      </c>
      <c r="J55" s="114">
        <v>1</v>
      </c>
      <c r="K55" s="114">
        <v>8.4</v>
      </c>
      <c r="L55" s="114">
        <v>17.156179428100586</v>
      </c>
      <c r="M55" s="114">
        <v>161</v>
      </c>
      <c r="N55" s="114"/>
      <c r="O55" s="114">
        <v>8</v>
      </c>
      <c r="P55" s="114">
        <v>6.3000000000000007</v>
      </c>
      <c r="Q55" s="114">
        <v>27</v>
      </c>
      <c r="R55" s="263"/>
      <c r="S55" s="263">
        <v>188</v>
      </c>
    </row>
    <row r="56" spans="1:19" ht="20.100000000000001" customHeight="1" x14ac:dyDescent="0.25">
      <c r="A56" s="114" t="s">
        <v>50</v>
      </c>
      <c r="B56" s="263"/>
      <c r="C56" s="114">
        <v>12.842382431030273</v>
      </c>
      <c r="D56" s="114">
        <v>85.48046875</v>
      </c>
      <c r="E56" s="114">
        <v>42.449260711669922</v>
      </c>
      <c r="F56" s="114">
        <v>42.493923187255859</v>
      </c>
      <c r="G56" s="114">
        <v>24.019298553466797</v>
      </c>
      <c r="H56" s="114">
        <v>6.6557493209838867</v>
      </c>
      <c r="I56" s="114">
        <v>213.94108581542969</v>
      </c>
      <c r="J56" s="114">
        <v>3</v>
      </c>
      <c r="K56" s="114">
        <v>8.4</v>
      </c>
      <c r="L56" s="114">
        <v>25.826320648193359</v>
      </c>
      <c r="M56" s="114">
        <v>240</v>
      </c>
      <c r="N56" s="114"/>
      <c r="O56" s="114">
        <v>8</v>
      </c>
      <c r="P56" s="114">
        <v>6.3000000000000007</v>
      </c>
      <c r="Q56" s="114">
        <v>40</v>
      </c>
      <c r="R56" s="263"/>
      <c r="S56" s="263">
        <v>280</v>
      </c>
    </row>
    <row r="57" spans="1:19" ht="20.100000000000001" customHeight="1" x14ac:dyDescent="0.25">
      <c r="A57" s="114" t="s">
        <v>36</v>
      </c>
      <c r="B57" s="263"/>
      <c r="C57" s="114">
        <v>3.5405638217926025</v>
      </c>
      <c r="D57" s="114">
        <v>21.772159576416016</v>
      </c>
      <c r="E57" s="114">
        <v>6.5253276824951172</v>
      </c>
      <c r="F57" s="114">
        <v>8.8067998886108398</v>
      </c>
      <c r="G57" s="114">
        <v>4.4910078048706055</v>
      </c>
      <c r="H57" s="114">
        <v>2.3073501586914063</v>
      </c>
      <c r="I57" s="114">
        <v>47.443210601806641</v>
      </c>
      <c r="J57" s="114">
        <v>0</v>
      </c>
      <c r="K57" s="114">
        <v>7.8000000000000007</v>
      </c>
      <c r="L57" s="114">
        <v>6.0824627876281738</v>
      </c>
      <c r="M57" s="114">
        <v>54</v>
      </c>
      <c r="N57" s="114"/>
      <c r="O57" s="114">
        <v>5.3</v>
      </c>
      <c r="P57" s="114">
        <v>5.1000000000000005</v>
      </c>
      <c r="Q57" s="114">
        <v>12</v>
      </c>
      <c r="R57" s="263"/>
      <c r="S57" s="263">
        <v>66</v>
      </c>
    </row>
    <row r="58" spans="1:19" ht="20.100000000000001" customHeight="1" x14ac:dyDescent="0.25">
      <c r="A58" s="114" t="s">
        <v>37</v>
      </c>
      <c r="B58" s="263"/>
      <c r="C58" s="114">
        <v>2.4451520442962646</v>
      </c>
      <c r="D58" s="114">
        <v>16.421623229980469</v>
      </c>
      <c r="E58" s="114">
        <v>5.224675178527832</v>
      </c>
      <c r="F58" s="114">
        <v>7.3371706008911133</v>
      </c>
      <c r="G58" s="114">
        <v>4.0131468772888184</v>
      </c>
      <c r="H58" s="114">
        <v>1.7541781663894653</v>
      </c>
      <c r="I58" s="114">
        <v>37.195945739746094</v>
      </c>
      <c r="J58" s="114">
        <v>1.25</v>
      </c>
      <c r="K58" s="114">
        <v>7.8000000000000007</v>
      </c>
      <c r="L58" s="114">
        <v>4.9289674758911133</v>
      </c>
      <c r="M58" s="114">
        <v>43</v>
      </c>
      <c r="N58" s="114"/>
      <c r="O58" s="114">
        <v>3.05</v>
      </c>
      <c r="P58" s="114">
        <v>5.1000000000000005</v>
      </c>
      <c r="Q58" s="114">
        <v>10</v>
      </c>
      <c r="R58" s="263"/>
      <c r="S58" s="263">
        <v>53</v>
      </c>
    </row>
    <row r="59" spans="1:19" ht="20.100000000000001" customHeight="1" x14ac:dyDescent="0.25">
      <c r="A59" s="114" t="s">
        <v>18</v>
      </c>
      <c r="B59" s="263"/>
      <c r="C59" s="114">
        <v>0.63588696718215942</v>
      </c>
      <c r="D59" s="114">
        <v>3.9407744407653809</v>
      </c>
      <c r="E59" s="114">
        <v>1.1759809255599976</v>
      </c>
      <c r="F59" s="114">
        <v>1.6608288288116455</v>
      </c>
      <c r="G59" s="114">
        <v>1.005441427230835</v>
      </c>
      <c r="H59" s="114">
        <v>0.59578347206115723</v>
      </c>
      <c r="I59" s="114">
        <v>9.0146961212158203</v>
      </c>
      <c r="J59" s="114">
        <v>0</v>
      </c>
      <c r="K59" s="114">
        <v>6.6000000000000005</v>
      </c>
      <c r="L59" s="114">
        <v>1.3658630847930908</v>
      </c>
      <c r="M59" s="114">
        <v>11</v>
      </c>
      <c r="N59" s="114"/>
      <c r="O59" s="114">
        <v>5</v>
      </c>
      <c r="P59" s="114">
        <v>3.5</v>
      </c>
      <c r="Q59" s="114">
        <v>5</v>
      </c>
      <c r="R59" s="263"/>
      <c r="S59" s="263">
        <v>16</v>
      </c>
    </row>
    <row r="60" spans="1:19" ht="20.100000000000001" customHeight="1" x14ac:dyDescent="0.25">
      <c r="A60" s="114" t="s">
        <v>51</v>
      </c>
      <c r="B60" s="263"/>
      <c r="C60" s="114">
        <v>15.221981048583984</v>
      </c>
      <c r="D60" s="114">
        <v>80.129074096679688</v>
      </c>
      <c r="E60" s="114">
        <v>32.351123809814453</v>
      </c>
      <c r="F60" s="114">
        <v>43.998729705810547</v>
      </c>
      <c r="G60" s="114">
        <v>19.453392028808594</v>
      </c>
      <c r="H60" s="114">
        <v>15.220043182373047</v>
      </c>
      <c r="I60" s="114">
        <v>206.37434387207031</v>
      </c>
      <c r="J60" s="114">
        <v>3</v>
      </c>
      <c r="K60" s="114">
        <v>8.4</v>
      </c>
      <c r="L60" s="114">
        <v>24.925518035888672</v>
      </c>
      <c r="M60" s="114">
        <v>232</v>
      </c>
      <c r="N60" s="114"/>
      <c r="O60" s="114">
        <v>16.75</v>
      </c>
      <c r="P60" s="114">
        <v>6.3000000000000007</v>
      </c>
      <c r="Q60" s="114">
        <v>40</v>
      </c>
      <c r="R60" s="263"/>
      <c r="S60" s="263">
        <v>272</v>
      </c>
    </row>
    <row r="61" spans="1:19" ht="20.100000000000001" customHeight="1" x14ac:dyDescent="0.25">
      <c r="A61" s="114" t="s">
        <v>38</v>
      </c>
      <c r="B61" s="263"/>
      <c r="C61" s="114">
        <v>1.2898756265640259</v>
      </c>
      <c r="D61" s="114">
        <v>12.783173561096191</v>
      </c>
      <c r="E61" s="114">
        <v>4.4854035377502441</v>
      </c>
      <c r="F61" s="114">
        <v>4.469048023223877</v>
      </c>
      <c r="G61" s="114">
        <v>3.4989545345306396</v>
      </c>
      <c r="H61" s="114">
        <v>2.2152266502380371</v>
      </c>
      <c r="I61" s="114">
        <v>28.741682052612305</v>
      </c>
      <c r="J61" s="114">
        <v>0</v>
      </c>
      <c r="K61" s="114">
        <v>7.8000000000000007</v>
      </c>
      <c r="L61" s="114">
        <v>3.6848311424255371</v>
      </c>
      <c r="M61" s="114">
        <v>33</v>
      </c>
      <c r="N61" s="114"/>
      <c r="O61" s="114">
        <v>2</v>
      </c>
      <c r="P61" s="114">
        <v>5.1000000000000005</v>
      </c>
      <c r="Q61" s="114">
        <v>7</v>
      </c>
      <c r="R61" s="263"/>
      <c r="S61" s="263">
        <v>40</v>
      </c>
    </row>
    <row r="62" spans="1:19" ht="20.100000000000001" customHeight="1" x14ac:dyDescent="0.25">
      <c r="A62" s="114" t="s">
        <v>52</v>
      </c>
      <c r="B62" s="263"/>
      <c r="C62" s="114">
        <v>16.962671279907227</v>
      </c>
      <c r="D62" s="114">
        <v>84.914024353027344</v>
      </c>
      <c r="E62" s="114">
        <v>50.018779754638672</v>
      </c>
      <c r="F62" s="114">
        <v>40.715995788574219</v>
      </c>
      <c r="G62" s="114">
        <v>25.67656135559082</v>
      </c>
      <c r="H62" s="114">
        <v>10.169414520263672</v>
      </c>
      <c r="I62" s="114">
        <v>228.45744323730469</v>
      </c>
      <c r="J62" s="114">
        <v>11.6</v>
      </c>
      <c r="K62" s="114">
        <v>8.4</v>
      </c>
      <c r="L62" s="114">
        <v>28.578266143798828</v>
      </c>
      <c r="M62" s="114">
        <v>258</v>
      </c>
      <c r="N62" s="114"/>
      <c r="O62" s="114">
        <v>62.7166</v>
      </c>
      <c r="P62" s="114">
        <v>6.3000000000000007</v>
      </c>
      <c r="Q62" s="114">
        <v>51</v>
      </c>
      <c r="R62" s="263"/>
      <c r="S62" s="263">
        <v>309</v>
      </c>
    </row>
    <row r="63" spans="1:19" ht="20.100000000000001" customHeight="1" x14ac:dyDescent="0.25">
      <c r="A63" s="114" t="s">
        <v>39</v>
      </c>
      <c r="B63" s="263"/>
      <c r="C63" s="114">
        <v>5.274965763092041</v>
      </c>
      <c r="D63" s="114">
        <v>29.118240356445313</v>
      </c>
      <c r="E63" s="114">
        <v>10.955840110778809</v>
      </c>
      <c r="F63" s="114">
        <v>13.127148628234863</v>
      </c>
      <c r="G63" s="114">
        <v>7.5544872283935547</v>
      </c>
      <c r="H63" s="114">
        <v>4.2204346656799316</v>
      </c>
      <c r="I63" s="114">
        <v>70.251113891601563</v>
      </c>
      <c r="J63" s="114">
        <v>1.5</v>
      </c>
      <c r="K63" s="114">
        <v>7.8000000000000007</v>
      </c>
      <c r="L63" s="114">
        <v>9.1988611221313477</v>
      </c>
      <c r="M63" s="114">
        <v>80</v>
      </c>
      <c r="N63" s="114"/>
      <c r="O63" s="114">
        <v>13.75</v>
      </c>
      <c r="P63" s="114">
        <v>5.1000000000000005</v>
      </c>
      <c r="Q63" s="114">
        <v>19</v>
      </c>
      <c r="R63" s="263"/>
      <c r="S63" s="263">
        <v>99</v>
      </c>
    </row>
    <row r="64" spans="1:19" ht="20.100000000000001" customHeight="1" x14ac:dyDescent="0.25">
      <c r="A64" s="114" t="s">
        <v>40</v>
      </c>
      <c r="C64" s="114">
        <v>2.0342435836791992</v>
      </c>
      <c r="D64" s="114">
        <v>19.913028717041016</v>
      </c>
      <c r="E64" s="114">
        <v>5.6038107872009277</v>
      </c>
      <c r="F64" s="114">
        <v>8.3841457366943359</v>
      </c>
      <c r="G64" s="114">
        <v>3.9775018692016602</v>
      </c>
      <c r="H64" s="114">
        <v>2.5402553081512451</v>
      </c>
      <c r="I64" s="114">
        <v>42.452987670898438</v>
      </c>
      <c r="J64" s="114">
        <v>0</v>
      </c>
      <c r="K64" s="114">
        <v>7.8000000000000007</v>
      </c>
      <c r="L64" s="114">
        <v>5.4426908493041992</v>
      </c>
      <c r="M64" s="114">
        <v>48</v>
      </c>
      <c r="N64" s="114"/>
      <c r="O64" s="114">
        <v>4.4000000000000004</v>
      </c>
      <c r="P64" s="114">
        <v>5.1000000000000005</v>
      </c>
      <c r="Q64" s="114">
        <v>11</v>
      </c>
      <c r="R64" s="114"/>
      <c r="S64" s="114">
        <v>59</v>
      </c>
    </row>
    <row r="65" spans="1:20" s="112" customFormat="1" ht="20.100000000000001" customHeight="1" thickBot="1" x14ac:dyDescent="0.3">
      <c r="A65" s="113" t="s">
        <v>62</v>
      </c>
      <c r="B65" s="53"/>
      <c r="C65" s="264">
        <f>SUM(C7:C64)</f>
        <v>702.92166963219643</v>
      </c>
      <c r="D65" s="265">
        <f t="shared" ref="D65:Q65" si="0">SUM(D7:D64)</f>
        <v>4020.5859465003014</v>
      </c>
      <c r="E65" s="265">
        <f t="shared" si="0"/>
        <v>3299.9921481907368</v>
      </c>
      <c r="F65" s="265">
        <f t="shared" si="0"/>
        <v>2543.8090984672308</v>
      </c>
      <c r="G65" s="265">
        <f t="shared" si="0"/>
        <v>1464.46288202703</v>
      </c>
      <c r="H65" s="265">
        <f t="shared" si="0"/>
        <v>677.11963297054172</v>
      </c>
      <c r="I65" s="265">
        <f t="shared" si="0"/>
        <v>12708.891337513924</v>
      </c>
      <c r="J65" s="265">
        <f t="shared" si="0"/>
        <v>553.76980769230772</v>
      </c>
      <c r="K65" s="265">
        <f t="shared" si="0"/>
        <v>456.60000000000008</v>
      </c>
      <c r="L65" s="265">
        <f t="shared" si="0"/>
        <v>1468.9833972752094</v>
      </c>
      <c r="M65" s="265">
        <f t="shared" si="0"/>
        <v>14206</v>
      </c>
      <c r="N65" s="265"/>
      <c r="O65" s="265">
        <f t="shared" si="0"/>
        <v>1567.0296384615383</v>
      </c>
      <c r="P65" s="265">
        <f t="shared" si="0"/>
        <v>297.00000000000023</v>
      </c>
      <c r="Q65" s="265">
        <f t="shared" si="0"/>
        <v>2630</v>
      </c>
      <c r="R65" s="266"/>
      <c r="S65" s="267">
        <f>SUM(S7:S64)</f>
        <v>16836</v>
      </c>
      <c r="T65" s="101"/>
    </row>
    <row r="66" spans="1:20" s="112" customFormat="1" ht="20.100000000000001" customHeight="1" thickTop="1" x14ac:dyDescent="0.25">
      <c r="A66" s="100"/>
      <c r="B66" s="53"/>
      <c r="C66" s="100"/>
      <c r="D66" s="100"/>
      <c r="E66" s="100"/>
      <c r="F66" s="100"/>
      <c r="G66" s="100"/>
      <c r="H66" s="100"/>
      <c r="I66" s="100"/>
      <c r="J66" s="100"/>
      <c r="K66" s="110"/>
      <c r="L66" s="100"/>
      <c r="M66" s="100"/>
      <c r="N66" s="53"/>
      <c r="O66" s="100"/>
      <c r="P66" s="110"/>
      <c r="Q66" s="100"/>
      <c r="R66" s="53"/>
      <c r="S66" s="111"/>
      <c r="T66" s="101"/>
    </row>
    <row r="67" spans="1:20" s="112" customFormat="1" ht="21.6" customHeight="1" x14ac:dyDescent="0.25">
      <c r="A67" s="223"/>
      <c r="B67" s="53"/>
      <c r="C67" s="108" t="s">
        <v>237</v>
      </c>
      <c r="E67" s="222"/>
      <c r="F67" s="222"/>
      <c r="G67" s="222"/>
      <c r="H67" s="255"/>
      <c r="I67" s="222"/>
      <c r="J67" s="222"/>
      <c r="K67" s="256"/>
      <c r="L67" s="222"/>
      <c r="M67" s="222"/>
      <c r="N67" s="222"/>
      <c r="O67" s="222"/>
      <c r="P67" s="222"/>
      <c r="Q67" s="222"/>
      <c r="R67" s="222"/>
      <c r="S67" s="222"/>
      <c r="T67" s="101"/>
    </row>
    <row r="68" spans="1:20" ht="21.6" customHeight="1" x14ac:dyDescent="0.25">
      <c r="A68" s="226"/>
      <c r="C68" s="108" t="s">
        <v>238</v>
      </c>
      <c r="D68" s="222"/>
      <c r="E68" s="222"/>
      <c r="F68" s="222"/>
      <c r="G68" s="222"/>
      <c r="H68" s="222"/>
      <c r="I68" s="222"/>
      <c r="J68" s="222"/>
      <c r="K68" s="222"/>
      <c r="L68" s="222"/>
      <c r="M68" s="222"/>
      <c r="N68" s="222"/>
      <c r="O68" s="222"/>
      <c r="P68" s="222"/>
      <c r="Q68" s="222"/>
    </row>
  </sheetData>
  <mergeCells count="3">
    <mergeCell ref="C4:M4"/>
    <mergeCell ref="O4:Q4"/>
    <mergeCell ref="A5:A6"/>
  </mergeCells>
  <printOptions horizontalCentered="1"/>
  <pageMargins left="0.25" right="0.25" top="0.5" bottom="0.25" header="0.3" footer="0.3"/>
  <pageSetup scale="53"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H7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ColWidth="9.42578125" defaultRowHeight="15" x14ac:dyDescent="0.25"/>
  <cols>
    <col min="1" max="1" width="17.5703125" style="116" customWidth="1"/>
    <col min="2" max="2" width="1.5703125" style="53" customWidth="1"/>
    <col min="3" max="4" width="15.5703125" style="116" customWidth="1"/>
    <col min="5" max="5" width="1.5703125" style="53" customWidth="1"/>
    <col min="6" max="6" width="15.5703125" style="116" customWidth="1"/>
    <col min="7" max="7" width="11.42578125" style="116" bestFit="1" customWidth="1"/>
    <col min="8" max="16384" width="9.42578125" style="116"/>
  </cols>
  <sheetData>
    <row r="1" spans="1:7" ht="20.100000000000001" customHeight="1" x14ac:dyDescent="0.25">
      <c r="A1" s="129" t="s">
        <v>173</v>
      </c>
      <c r="B1" s="100"/>
      <c r="E1" s="100"/>
    </row>
    <row r="2" spans="1:7" ht="18.600000000000001" customHeight="1" x14ac:dyDescent="0.25">
      <c r="A2" s="49"/>
      <c r="B2" s="51"/>
      <c r="E2" s="51"/>
    </row>
    <row r="3" spans="1:7" ht="18.600000000000001" customHeight="1" x14ac:dyDescent="0.25">
      <c r="B3" s="51"/>
      <c r="E3" s="51"/>
    </row>
    <row r="4" spans="1:7" ht="45" x14ac:dyDescent="0.25">
      <c r="A4" s="289" t="s">
        <v>63</v>
      </c>
      <c r="B4" s="81"/>
      <c r="C4" s="117" t="s">
        <v>176</v>
      </c>
      <c r="D4" s="135" t="s">
        <v>175</v>
      </c>
      <c r="E4" s="81"/>
      <c r="F4" s="74" t="s">
        <v>171</v>
      </c>
    </row>
    <row r="5" spans="1:7" x14ac:dyDescent="0.25">
      <c r="A5" s="290"/>
      <c r="B5" s="81"/>
      <c r="C5" s="78" t="s">
        <v>65</v>
      </c>
      <c r="D5" s="78" t="s">
        <v>1</v>
      </c>
      <c r="E5" s="81"/>
      <c r="F5" s="78" t="s">
        <v>66</v>
      </c>
    </row>
    <row r="6" spans="1:7" ht="18.600000000000001" customHeight="1" x14ac:dyDescent="0.25">
      <c r="A6" s="118" t="s">
        <v>53</v>
      </c>
      <c r="B6" s="81"/>
      <c r="C6" s="130">
        <f>'Program 10'!C7+'Program 90'!C7</f>
        <v>60446829.654415414</v>
      </c>
      <c r="D6" s="119">
        <f>'Program 10'!B7+'Program 90'!B7</f>
        <v>604.94999999999982</v>
      </c>
      <c r="E6" s="81"/>
      <c r="F6" s="131">
        <f>C6/D6</f>
        <v>99920.373013332399</v>
      </c>
      <c r="G6" s="120"/>
    </row>
    <row r="7" spans="1:7" ht="18.600000000000001" customHeight="1" x14ac:dyDescent="0.25">
      <c r="A7" s="118" t="s">
        <v>4</v>
      </c>
      <c r="B7" s="82"/>
      <c r="C7" s="130">
        <f>'Program 10'!C8+'Program 90'!C8</f>
        <v>186130.0575</v>
      </c>
      <c r="D7" s="119">
        <f>'Program 10'!B8+'Program 90'!B8</f>
        <v>2.75</v>
      </c>
      <c r="E7" s="82"/>
      <c r="F7" s="131">
        <f t="shared" ref="F7:F63" si="0">C7/D7</f>
        <v>67683.657272727272</v>
      </c>
      <c r="G7" s="120"/>
    </row>
    <row r="8" spans="1:7" ht="18.600000000000001" customHeight="1" x14ac:dyDescent="0.25">
      <c r="A8" s="118" t="s">
        <v>5</v>
      </c>
      <c r="B8" s="81"/>
      <c r="C8" s="130">
        <f>'Program 10'!C9+'Program 90'!C9</f>
        <v>1975390.2599999995</v>
      </c>
      <c r="D8" s="119">
        <f>'Program 10'!B9+'Program 90'!B9</f>
        <v>25.9</v>
      </c>
      <c r="E8" s="81"/>
      <c r="F8" s="131">
        <f t="shared" si="0"/>
        <v>76269.894208494195</v>
      </c>
      <c r="G8" s="120"/>
    </row>
    <row r="9" spans="1:7" ht="18.600000000000001" customHeight="1" x14ac:dyDescent="0.25">
      <c r="A9" s="118" t="s">
        <v>19</v>
      </c>
      <c r="C9" s="130">
        <f>'Program 10'!C10+'Program 90'!C10</f>
        <v>7093576.3206301192</v>
      </c>
      <c r="D9" s="119">
        <f>'Program 10'!B10+'Program 90'!B10</f>
        <v>105.45759999999996</v>
      </c>
      <c r="F9" s="131">
        <f t="shared" si="0"/>
        <v>67264.723648462721</v>
      </c>
      <c r="G9" s="120"/>
    </row>
    <row r="10" spans="1:7" ht="18.600000000000001" customHeight="1" x14ac:dyDescent="0.25">
      <c r="A10" s="118" t="s">
        <v>6</v>
      </c>
      <c r="C10" s="130">
        <f>'Program 10'!C11+'Program 90'!C11</f>
        <v>1755468.7274799999</v>
      </c>
      <c r="D10" s="119">
        <f>'Program 10'!B11+'Program 90'!B11</f>
        <v>22.65</v>
      </c>
      <c r="F10" s="131">
        <f t="shared" si="0"/>
        <v>77504.138078587202</v>
      </c>
      <c r="G10" s="120"/>
    </row>
    <row r="11" spans="1:7" ht="18.600000000000001" customHeight="1" x14ac:dyDescent="0.25">
      <c r="A11" s="118" t="s">
        <v>7</v>
      </c>
      <c r="C11" s="130">
        <f>'Program 10'!C12+'Program 90'!C12</f>
        <v>792024.2</v>
      </c>
      <c r="D11" s="119">
        <f>'Program 10'!B12+'Program 90'!B12</f>
        <v>14.099999999999991</v>
      </c>
      <c r="F11" s="131">
        <f t="shared" si="0"/>
        <v>56171.929078014218</v>
      </c>
      <c r="G11" s="120"/>
    </row>
    <row r="12" spans="1:7" ht="18.600000000000001" customHeight="1" x14ac:dyDescent="0.25">
      <c r="A12" s="118" t="s">
        <v>41</v>
      </c>
      <c r="B12" s="83"/>
      <c r="C12" s="130">
        <f>'Program 10'!C13+'Program 90'!C13</f>
        <v>26368248.778000001</v>
      </c>
      <c r="D12" s="119">
        <f>'Program 10'!B13+'Program 90'!B13</f>
        <v>295.54000000000002</v>
      </c>
      <c r="E12" s="83"/>
      <c r="F12" s="131">
        <f t="shared" si="0"/>
        <v>89220.575143804555</v>
      </c>
      <c r="G12" s="120"/>
    </row>
    <row r="13" spans="1:7" ht="18.600000000000001" customHeight="1" x14ac:dyDescent="0.25">
      <c r="A13" s="118" t="s">
        <v>8</v>
      </c>
      <c r="C13" s="130">
        <f>'Program 10'!C14+'Program 90'!C14</f>
        <v>1561810.4650903293</v>
      </c>
      <c r="D13" s="119">
        <f>'Program 10'!B14+'Program 90'!B14</f>
        <v>23</v>
      </c>
      <c r="F13" s="131">
        <f t="shared" si="0"/>
        <v>67904.80283001432</v>
      </c>
      <c r="G13" s="120"/>
    </row>
    <row r="14" spans="1:7" ht="18.600000000000001" customHeight="1" x14ac:dyDescent="0.25">
      <c r="A14" s="118" t="s">
        <v>20</v>
      </c>
      <c r="C14" s="130">
        <f>'Program 10'!C15+'Program 90'!C15</f>
        <v>5209792.6400000006</v>
      </c>
      <c r="D14" s="119">
        <f>'Program 10'!B15+'Program 90'!B15</f>
        <v>66.8</v>
      </c>
      <c r="F14" s="131">
        <f t="shared" si="0"/>
        <v>77990.907784431154</v>
      </c>
      <c r="G14" s="120"/>
    </row>
    <row r="15" spans="1:7" ht="18.600000000000001" customHeight="1" x14ac:dyDescent="0.25">
      <c r="A15" s="118" t="s">
        <v>42</v>
      </c>
      <c r="C15" s="130">
        <f>'Program 10'!C16+'Program 90'!C16</f>
        <v>34776142.623000011</v>
      </c>
      <c r="D15" s="119">
        <f>'Program 10'!B16+'Program 90'!B16</f>
        <v>473.42499999999995</v>
      </c>
      <c r="F15" s="131">
        <f t="shared" si="0"/>
        <v>73456.498121138546</v>
      </c>
      <c r="G15" s="120"/>
    </row>
    <row r="16" spans="1:7" ht="18.600000000000001" customHeight="1" x14ac:dyDescent="0.25">
      <c r="A16" s="118" t="s">
        <v>9</v>
      </c>
      <c r="C16" s="130">
        <f>'Program 10'!C17+'Program 90'!C17</f>
        <v>886056.65049999999</v>
      </c>
      <c r="D16" s="119">
        <f>'Program 10'!B17+'Program 90'!B17</f>
        <v>14.100000000000001</v>
      </c>
      <c r="F16" s="131">
        <f t="shared" si="0"/>
        <v>62840.897198581551</v>
      </c>
      <c r="G16" s="120"/>
    </row>
    <row r="17" spans="1:7" ht="18.600000000000001" customHeight="1" x14ac:dyDescent="0.25">
      <c r="A17" s="118" t="s">
        <v>21</v>
      </c>
      <c r="C17" s="130">
        <f>'Program 10'!C18+'Program 90'!C18</f>
        <v>4760141.3799299998</v>
      </c>
      <c r="D17" s="119">
        <f>'Program 10'!B18+'Program 90'!B18</f>
        <v>69.2</v>
      </c>
      <c r="F17" s="131">
        <f t="shared" si="0"/>
        <v>68788.170230202304</v>
      </c>
      <c r="G17" s="120"/>
    </row>
    <row r="18" spans="1:7" ht="18.600000000000001" customHeight="1" x14ac:dyDescent="0.25">
      <c r="A18" s="118" t="s">
        <v>22</v>
      </c>
      <c r="B18" s="83"/>
      <c r="C18" s="130">
        <f>'Program 10'!C19+'Program 90'!C19</f>
        <v>5661967.9017599244</v>
      </c>
      <c r="D18" s="119">
        <f>'Program 10'!B19+'Program 90'!B19</f>
        <v>96.799999999999983</v>
      </c>
      <c r="E18" s="83"/>
      <c r="F18" s="131">
        <f t="shared" si="0"/>
        <v>58491.403943800884</v>
      </c>
      <c r="G18" s="120"/>
    </row>
    <row r="19" spans="1:7" ht="18.600000000000001" customHeight="1" x14ac:dyDescent="0.25">
      <c r="A19" s="118" t="s">
        <v>10</v>
      </c>
      <c r="C19" s="130">
        <f>'Program 10'!C20+'Program 90'!C20</f>
        <v>1020572.2000000001</v>
      </c>
      <c r="D19" s="119">
        <f>'Program 10'!B20+'Program 90'!B20</f>
        <v>13.129999999999997</v>
      </c>
      <c r="F19" s="131">
        <f t="shared" si="0"/>
        <v>77728.271134805807</v>
      </c>
      <c r="G19" s="120"/>
    </row>
    <row r="20" spans="1:7" ht="18.600000000000001" customHeight="1" x14ac:dyDescent="0.25">
      <c r="A20" s="118" t="s">
        <v>43</v>
      </c>
      <c r="C20" s="130">
        <f>'Program 10'!C21+'Program 90'!C21</f>
        <v>36986347.588818081</v>
      </c>
      <c r="D20" s="119">
        <f>'Program 10'!B21+'Program 90'!B21</f>
        <v>477.5</v>
      </c>
      <c r="F20" s="131">
        <f t="shared" si="0"/>
        <v>77458.319557734198</v>
      </c>
      <c r="G20" s="120"/>
    </row>
    <row r="21" spans="1:7" ht="18.600000000000001" customHeight="1" x14ac:dyDescent="0.25">
      <c r="A21" s="118" t="s">
        <v>23</v>
      </c>
      <c r="C21" s="130">
        <f>'Program 10'!C22+'Program 90'!C22</f>
        <v>6389801.969999996</v>
      </c>
      <c r="D21" s="119">
        <f>'Program 10'!B22+'Program 90'!B22</f>
        <v>89</v>
      </c>
      <c r="F21" s="131">
        <f t="shared" si="0"/>
        <v>71795.52775280895</v>
      </c>
      <c r="G21" s="120"/>
    </row>
    <row r="22" spans="1:7" ht="18.600000000000001" customHeight="1" x14ac:dyDescent="0.25">
      <c r="A22" s="118" t="s">
        <v>24</v>
      </c>
      <c r="C22" s="130">
        <f>'Program 10'!C23+'Program 90'!C23</f>
        <v>2179033.9469999997</v>
      </c>
      <c r="D22" s="119">
        <f>'Program 10'!B23+'Program 90'!B23</f>
        <v>31.1</v>
      </c>
      <c r="F22" s="131">
        <f t="shared" si="0"/>
        <v>70065.400225080375</v>
      </c>
      <c r="G22" s="120"/>
    </row>
    <row r="23" spans="1:7" ht="18.600000000000001" customHeight="1" x14ac:dyDescent="0.25">
      <c r="A23" s="118" t="s">
        <v>11</v>
      </c>
      <c r="C23" s="130">
        <f>'Program 10'!C24+'Program 90'!C24</f>
        <v>1449939.2399999995</v>
      </c>
      <c r="D23" s="119">
        <f>'Program 10'!B24+'Program 90'!B24</f>
        <v>19.5</v>
      </c>
      <c r="F23" s="131">
        <f t="shared" si="0"/>
        <v>74355.858461538432</v>
      </c>
      <c r="G23" s="120"/>
    </row>
    <row r="24" spans="1:7" ht="18.600000000000001" customHeight="1" x14ac:dyDescent="0.25">
      <c r="A24" s="118" t="s">
        <v>54</v>
      </c>
      <c r="C24" s="130">
        <f>'Program 10'!C25+'Program 90'!C25</f>
        <v>374363418.52498728</v>
      </c>
      <c r="D24" s="119">
        <f>'Program 10'!B25+'Program 90'!B25</f>
        <v>4222</v>
      </c>
      <c r="F24" s="131">
        <f t="shared" si="0"/>
        <v>88669.687002602383</v>
      </c>
      <c r="G24" s="120"/>
    </row>
    <row r="25" spans="1:7" ht="18.600000000000001" customHeight="1" x14ac:dyDescent="0.25">
      <c r="A25" s="118" t="s">
        <v>25</v>
      </c>
      <c r="C25" s="130">
        <f>'Program 10'!C26+'Program 90'!C26</f>
        <v>6592278.9700000007</v>
      </c>
      <c r="D25" s="119">
        <f>'Program 10'!B26+'Program 90'!B26</f>
        <v>91.36</v>
      </c>
      <c r="F25" s="131">
        <f t="shared" si="0"/>
        <v>72157.169111208408</v>
      </c>
      <c r="G25" s="120"/>
    </row>
    <row r="26" spans="1:7" ht="18.600000000000001" customHeight="1" x14ac:dyDescent="0.25">
      <c r="A26" s="118" t="s">
        <v>26</v>
      </c>
      <c r="C26" s="130">
        <f>'Program 10'!C27+'Program 90'!C27</f>
        <v>9204246.1246475056</v>
      </c>
      <c r="D26" s="119">
        <f>'Program 10'!B27+'Program 90'!B27</f>
        <v>94.361538461538458</v>
      </c>
      <c r="F26" s="131">
        <f t="shared" si="0"/>
        <v>97542.349083245761</v>
      </c>
      <c r="G26" s="120"/>
    </row>
    <row r="27" spans="1:7" ht="18.600000000000001" customHeight="1" x14ac:dyDescent="0.25">
      <c r="A27" s="118" t="s">
        <v>12</v>
      </c>
      <c r="C27" s="130">
        <f>'Program 10'!C28+'Program 90'!C28</f>
        <v>770454.54960000003</v>
      </c>
      <c r="D27" s="119">
        <f>'Program 10'!B28+'Program 90'!B28</f>
        <v>11.66</v>
      </c>
      <c r="F27" s="131">
        <f t="shared" si="0"/>
        <v>66076.719519725564</v>
      </c>
      <c r="G27" s="120"/>
    </row>
    <row r="28" spans="1:7" ht="18.600000000000001" customHeight="1" x14ac:dyDescent="0.25">
      <c r="A28" s="118" t="s">
        <v>27</v>
      </c>
      <c r="C28" s="130">
        <f>'Program 10'!C29+'Program 90'!C29</f>
        <v>4116595</v>
      </c>
      <c r="D28" s="119">
        <f>'Program 10'!B29+'Program 90'!B29</f>
        <v>50.699999999999996</v>
      </c>
      <c r="F28" s="131">
        <f t="shared" si="0"/>
        <v>81195.167652859964</v>
      </c>
      <c r="G28" s="120"/>
    </row>
    <row r="29" spans="1:7" ht="18.600000000000001" customHeight="1" x14ac:dyDescent="0.25">
      <c r="A29" s="118" t="s">
        <v>28</v>
      </c>
      <c r="C29" s="130">
        <f>'Program 10'!C30+'Program 90'!C30</f>
        <v>9568462.5868000016</v>
      </c>
      <c r="D29" s="119">
        <f>'Program 10'!B30+'Program 90'!B30</f>
        <v>130.5</v>
      </c>
      <c r="F29" s="131">
        <f t="shared" si="0"/>
        <v>73321.552389272038</v>
      </c>
      <c r="G29" s="120"/>
    </row>
    <row r="30" spans="1:7" ht="18.600000000000001" customHeight="1" x14ac:dyDescent="0.25">
      <c r="A30" s="118" t="s">
        <v>13</v>
      </c>
      <c r="C30" s="130">
        <f>'Program 10'!C31+'Program 90'!C31</f>
        <v>538255.81400000001</v>
      </c>
      <c r="D30" s="119">
        <f>'Program 10'!B31+'Program 90'!B31</f>
        <v>8.1999999999999993</v>
      </c>
      <c r="F30" s="131">
        <f t="shared" si="0"/>
        <v>65640.952926829283</v>
      </c>
      <c r="G30" s="120"/>
    </row>
    <row r="31" spans="1:7" ht="18.600000000000001" customHeight="1" x14ac:dyDescent="0.25">
      <c r="A31" s="118" t="s">
        <v>14</v>
      </c>
      <c r="C31" s="130">
        <f>'Program 10'!C32+'Program 90'!C32</f>
        <v>884179.31299999997</v>
      </c>
      <c r="D31" s="119">
        <f>'Program 10'!B32+'Program 90'!B32</f>
        <v>11.399999999999999</v>
      </c>
      <c r="F31" s="131">
        <f t="shared" si="0"/>
        <v>77559.588859649128</v>
      </c>
      <c r="G31" s="120"/>
    </row>
    <row r="32" spans="1:7" ht="18.600000000000001" customHeight="1" x14ac:dyDescent="0.25">
      <c r="A32" s="118" t="s">
        <v>44</v>
      </c>
      <c r="C32" s="130">
        <f>'Program 10'!C33+'Program 90'!C33</f>
        <v>13799403.54000001</v>
      </c>
      <c r="D32" s="119">
        <f>'Program 10'!B33+'Program 90'!B33</f>
        <v>172.79999999999998</v>
      </c>
      <c r="F32" s="131">
        <f t="shared" si="0"/>
        <v>79857.659375000061</v>
      </c>
      <c r="G32" s="120"/>
    </row>
    <row r="33" spans="1:7" ht="18.600000000000001" customHeight="1" x14ac:dyDescent="0.25">
      <c r="A33" s="118" t="s">
        <v>29</v>
      </c>
      <c r="C33" s="130">
        <f>'Program 10'!C34+'Program 90'!C34</f>
        <v>5253401.18</v>
      </c>
      <c r="D33" s="119">
        <f>'Program 10'!B34+'Program 90'!B34</f>
        <v>57.4</v>
      </c>
      <c r="F33" s="131">
        <f t="shared" si="0"/>
        <v>91522.668641114986</v>
      </c>
      <c r="G33" s="120"/>
    </row>
    <row r="34" spans="1:7" ht="18.600000000000001" customHeight="1" x14ac:dyDescent="0.25">
      <c r="A34" s="118" t="s">
        <v>30</v>
      </c>
      <c r="C34" s="130">
        <f>'Program 10'!C35+'Program 90'!C35</f>
        <v>3474315.8423324381</v>
      </c>
      <c r="D34" s="119">
        <f>'Program 10'!B35+'Program 90'!B35</f>
        <v>46.48</v>
      </c>
      <c r="F34" s="131">
        <f t="shared" si="0"/>
        <v>74748.619671524066</v>
      </c>
      <c r="G34" s="120"/>
    </row>
    <row r="35" spans="1:7" ht="18.600000000000001" customHeight="1" x14ac:dyDescent="0.25">
      <c r="A35" s="118" t="s">
        <v>55</v>
      </c>
      <c r="C35" s="130">
        <f>'Program 10'!C36+'Program 90'!C36</f>
        <v>122701167.03691694</v>
      </c>
      <c r="D35" s="119">
        <f>'Program 10'!B36+'Program 90'!B36</f>
        <v>1334.1496168582371</v>
      </c>
      <c r="F35" s="131">
        <f t="shared" si="0"/>
        <v>91969.570343889558</v>
      </c>
      <c r="G35" s="120"/>
    </row>
    <row r="36" spans="1:7" ht="18.600000000000001" customHeight="1" x14ac:dyDescent="0.25">
      <c r="A36" s="118" t="s">
        <v>31</v>
      </c>
      <c r="C36" s="130">
        <f>'Program 10'!C37+'Program 90'!C37</f>
        <v>12587428.839999998</v>
      </c>
      <c r="D36" s="119">
        <f>'Program 10'!B37+'Program 90'!B37</f>
        <v>146.55000000000001</v>
      </c>
      <c r="F36" s="131">
        <f t="shared" si="0"/>
        <v>85891.70139883997</v>
      </c>
      <c r="G36" s="120"/>
    </row>
    <row r="37" spans="1:7" ht="18.600000000000001" customHeight="1" x14ac:dyDescent="0.25">
      <c r="A37" s="118" t="s">
        <v>15</v>
      </c>
      <c r="C37" s="130">
        <f>'Program 10'!C38+'Program 90'!C38</f>
        <v>609493.96000000008</v>
      </c>
      <c r="D37" s="119">
        <f>'Program 10'!B38+'Program 90'!B38</f>
        <v>8</v>
      </c>
      <c r="F37" s="131">
        <f t="shared" si="0"/>
        <v>76186.74500000001</v>
      </c>
      <c r="G37" s="120"/>
    </row>
    <row r="38" spans="1:7" ht="18.600000000000001" customHeight="1" x14ac:dyDescent="0.25">
      <c r="A38" s="118" t="s">
        <v>56</v>
      </c>
      <c r="C38" s="130">
        <f>'Program 10'!C39+'Program 90'!C39</f>
        <v>85920401.061059892</v>
      </c>
      <c r="D38" s="119">
        <f>'Program 10'!B39+'Program 90'!B39</f>
        <v>938.34</v>
      </c>
      <c r="F38" s="131">
        <f t="shared" si="0"/>
        <v>91566.384318114855</v>
      </c>
      <c r="G38" s="120"/>
    </row>
    <row r="39" spans="1:7" ht="18.600000000000001" customHeight="1" x14ac:dyDescent="0.25">
      <c r="A39" s="118" t="s">
        <v>57</v>
      </c>
      <c r="C39" s="130">
        <f>'Program 10'!C40+'Program 90'!C40</f>
        <v>64245858.173090845</v>
      </c>
      <c r="D39" s="119">
        <f>'Program 10'!B40+'Program 90'!B40</f>
        <v>683.55000000000075</v>
      </c>
      <c r="F39" s="131">
        <f t="shared" si="0"/>
        <v>93988.527793271554</v>
      </c>
      <c r="G39" s="120"/>
    </row>
    <row r="40" spans="1:7" ht="18.600000000000001" customHeight="1" x14ac:dyDescent="0.25">
      <c r="A40" s="118" t="s">
        <v>16</v>
      </c>
      <c r="C40" s="130">
        <f>'Program 10'!C41+'Program 90'!C41</f>
        <v>2928120.4290000005</v>
      </c>
      <c r="D40" s="119">
        <f>'Program 10'!B41+'Program 90'!B41</f>
        <v>33.299999999999997</v>
      </c>
      <c r="F40" s="131">
        <f t="shared" si="0"/>
        <v>87931.544414414442</v>
      </c>
      <c r="G40" s="120"/>
    </row>
    <row r="41" spans="1:7" ht="18.600000000000001" customHeight="1" x14ac:dyDescent="0.25">
      <c r="A41" s="118" t="s">
        <v>58</v>
      </c>
      <c r="C41" s="130">
        <f>'Program 10'!C42+'Program 90'!C42</f>
        <v>86287286.921699464</v>
      </c>
      <c r="D41" s="119">
        <f>'Program 10'!B42+'Program 90'!B42</f>
        <v>1028.8069230769231</v>
      </c>
      <c r="F41" s="131">
        <f t="shared" si="0"/>
        <v>83871.215274907154</v>
      </c>
      <c r="G41" s="120"/>
    </row>
    <row r="42" spans="1:7" ht="18.600000000000001" customHeight="1" x14ac:dyDescent="0.25">
      <c r="A42" s="118" t="s">
        <v>59</v>
      </c>
      <c r="C42" s="130">
        <f>'Program 10'!C43+'Program 90'!C43</f>
        <v>91878190.604799867</v>
      </c>
      <c r="D42" s="119">
        <f>'Program 10'!B43+'Program 90'!B43</f>
        <v>1078.48</v>
      </c>
      <c r="F42" s="131">
        <f t="shared" si="0"/>
        <v>85192.298980787644</v>
      </c>
      <c r="G42" s="120"/>
    </row>
    <row r="43" spans="1:7" ht="18.600000000000001" customHeight="1" x14ac:dyDescent="0.25">
      <c r="A43" s="118" t="s">
        <v>60</v>
      </c>
      <c r="C43" s="130">
        <f>'Program 10'!C44+'Program 90'!C44</f>
        <v>37826871.869147994</v>
      </c>
      <c r="D43" s="119">
        <f>'Program 10'!B44+'Program 90'!B44</f>
        <v>366.8</v>
      </c>
      <c r="F43" s="131">
        <f t="shared" si="0"/>
        <v>103126.69539026171</v>
      </c>
      <c r="G43" s="120"/>
    </row>
    <row r="44" spans="1:7" ht="18.600000000000001" customHeight="1" x14ac:dyDescent="0.25">
      <c r="A44" s="118" t="s">
        <v>45</v>
      </c>
      <c r="C44" s="130">
        <f>'Program 10'!C45+'Program 90'!C45</f>
        <v>25340722.62555996</v>
      </c>
      <c r="D44" s="119">
        <f>'Program 10'!B45+'Program 90'!B45</f>
        <v>321.09999999999991</v>
      </c>
      <c r="F44" s="131">
        <f t="shared" si="0"/>
        <v>78918.475943818019</v>
      </c>
      <c r="G44" s="120"/>
    </row>
    <row r="45" spans="1:7" ht="18.600000000000001" customHeight="1" x14ac:dyDescent="0.25">
      <c r="A45" s="118" t="s">
        <v>32</v>
      </c>
      <c r="C45" s="130">
        <f>'Program 10'!C46+'Program 90'!C46</f>
        <v>10710877.800000001</v>
      </c>
      <c r="D45" s="119">
        <f>'Program 10'!B46+'Program 90'!B46</f>
        <v>119.20000000000002</v>
      </c>
      <c r="F45" s="131">
        <f t="shared" si="0"/>
        <v>89856.357382550326</v>
      </c>
      <c r="G45" s="120"/>
    </row>
    <row r="46" spans="1:7" ht="18.600000000000001" customHeight="1" x14ac:dyDescent="0.25">
      <c r="A46" s="118" t="s">
        <v>46</v>
      </c>
      <c r="C46" s="130">
        <f>'Program 10'!C47+'Program 90'!C47</f>
        <v>26492823.294117637</v>
      </c>
      <c r="D46" s="119">
        <f>'Program 10'!B47+'Program 90'!B47</f>
        <v>260.5</v>
      </c>
      <c r="F46" s="131">
        <f t="shared" si="0"/>
        <v>101699.89748221742</v>
      </c>
      <c r="G46" s="120"/>
    </row>
    <row r="47" spans="1:7" ht="18.600000000000001" customHeight="1" x14ac:dyDescent="0.25">
      <c r="A47" s="118" t="s">
        <v>47</v>
      </c>
      <c r="C47" s="130">
        <f>'Program 10'!C48+'Program 90'!C48</f>
        <v>17155114.999540005</v>
      </c>
      <c r="D47" s="119">
        <f>'Program 10'!B48+'Program 90'!B48</f>
        <v>202.875</v>
      </c>
      <c r="F47" s="131">
        <f t="shared" si="0"/>
        <v>84560.024643450422</v>
      </c>
      <c r="G47" s="120"/>
    </row>
    <row r="48" spans="1:7" ht="18.600000000000001" customHeight="1" x14ac:dyDescent="0.25">
      <c r="A48" s="118" t="s">
        <v>61</v>
      </c>
      <c r="C48" s="130">
        <f>'Program 10'!C49+'Program 90'!C49</f>
        <v>52708784.0289675</v>
      </c>
      <c r="D48" s="119">
        <f>'Program 10'!B49+'Program 90'!B49</f>
        <v>494.83000000000015</v>
      </c>
      <c r="F48" s="131">
        <f t="shared" si="0"/>
        <v>106518.97425169752</v>
      </c>
      <c r="G48" s="120"/>
    </row>
    <row r="49" spans="1:7" ht="18.600000000000001" customHeight="1" x14ac:dyDescent="0.25">
      <c r="A49" s="118" t="s">
        <v>33</v>
      </c>
      <c r="C49" s="130">
        <f>'Program 10'!C50+'Program 90'!C50</f>
        <v>8690231.986025909</v>
      </c>
      <c r="D49" s="119">
        <f>'Program 10'!B50+'Program 90'!B50</f>
        <v>100.35941467117881</v>
      </c>
      <c r="F49" s="131">
        <f t="shared" si="0"/>
        <v>86591.098747425902</v>
      </c>
      <c r="G49" s="120"/>
    </row>
    <row r="50" spans="1:7" ht="18.600000000000001" customHeight="1" x14ac:dyDescent="0.25">
      <c r="A50" s="118" t="s">
        <v>34</v>
      </c>
      <c r="C50" s="130">
        <f>'Program 10'!C51+'Program 90'!C51</f>
        <v>9587057.610999994</v>
      </c>
      <c r="D50" s="119">
        <f>'Program 10'!B51+'Program 90'!B51</f>
        <v>129.30000000000001</v>
      </c>
      <c r="F50" s="131">
        <f t="shared" si="0"/>
        <v>74145.843859242013</v>
      </c>
      <c r="G50" s="120"/>
    </row>
    <row r="51" spans="1:7" ht="18.600000000000001" customHeight="1" x14ac:dyDescent="0.25">
      <c r="A51" s="118" t="s">
        <v>17</v>
      </c>
      <c r="C51" s="130">
        <f>'Program 10'!C52+'Program 90'!C52</f>
        <v>252247.3</v>
      </c>
      <c r="D51" s="119">
        <f>'Program 10'!B52+'Program 90'!B52</f>
        <v>4.1500000000000004</v>
      </c>
      <c r="F51" s="131">
        <f t="shared" si="0"/>
        <v>60782.481927710833</v>
      </c>
      <c r="G51" s="120"/>
    </row>
    <row r="52" spans="1:7" ht="18.600000000000001" customHeight="1" x14ac:dyDescent="0.25">
      <c r="A52" s="118" t="s">
        <v>35</v>
      </c>
      <c r="C52" s="130">
        <f>'Program 10'!C53+'Program 90'!C53</f>
        <v>2154637.6000000006</v>
      </c>
      <c r="D52" s="119">
        <f>'Program 10'!B53+'Program 90'!B53</f>
        <v>25.35</v>
      </c>
      <c r="F52" s="131">
        <f t="shared" si="0"/>
        <v>84995.566074950708</v>
      </c>
      <c r="G52" s="120"/>
    </row>
    <row r="53" spans="1:7" ht="18.600000000000001" customHeight="1" x14ac:dyDescent="0.25">
      <c r="A53" s="118" t="s">
        <v>48</v>
      </c>
      <c r="C53" s="130">
        <f>'Program 10'!C54+'Program 90'!C54</f>
        <v>16402122.776168779</v>
      </c>
      <c r="D53" s="119">
        <f>'Program 10'!B54+'Program 90'!B54</f>
        <v>189.95</v>
      </c>
      <c r="F53" s="131">
        <f t="shared" si="0"/>
        <v>86349.685581304453</v>
      </c>
      <c r="G53" s="120"/>
    </row>
    <row r="54" spans="1:7" ht="18.600000000000001" customHeight="1" x14ac:dyDescent="0.25">
      <c r="A54" s="118" t="s">
        <v>49</v>
      </c>
      <c r="C54" s="130">
        <f>'Program 10'!C55+'Program 90'!C55</f>
        <v>15717330.563643256</v>
      </c>
      <c r="D54" s="119">
        <f>'Program 10'!B55+'Program 90'!B55</f>
        <v>178.49</v>
      </c>
      <c r="F54" s="131">
        <f t="shared" si="0"/>
        <v>88057.205241992575</v>
      </c>
      <c r="G54" s="120"/>
    </row>
    <row r="55" spans="1:7" ht="18.600000000000001" customHeight="1" x14ac:dyDescent="0.25">
      <c r="A55" s="118" t="s">
        <v>50</v>
      </c>
      <c r="C55" s="130">
        <f>'Program 10'!C56+'Program 90'!C56</f>
        <v>18364451.019999988</v>
      </c>
      <c r="D55" s="119">
        <f>'Program 10'!B56+'Program 90'!B56</f>
        <v>234.5</v>
      </c>
      <c r="F55" s="131">
        <f t="shared" si="0"/>
        <v>78313.223965884812</v>
      </c>
      <c r="G55" s="120"/>
    </row>
    <row r="56" spans="1:7" ht="18.600000000000001" customHeight="1" x14ac:dyDescent="0.25">
      <c r="A56" s="118" t="s">
        <v>36</v>
      </c>
      <c r="C56" s="130">
        <f>'Program 10'!C57+'Program 90'!C57</f>
        <v>3437540.4499999997</v>
      </c>
      <c r="D56" s="119">
        <f>'Program 10'!B57+'Program 90'!B57</f>
        <v>46.3</v>
      </c>
      <c r="F56" s="131">
        <f t="shared" si="0"/>
        <v>74244.934125269981</v>
      </c>
      <c r="G56" s="120"/>
    </row>
    <row r="57" spans="1:7" ht="18.600000000000001" customHeight="1" x14ac:dyDescent="0.25">
      <c r="A57" s="118" t="s">
        <v>37</v>
      </c>
      <c r="C57" s="130">
        <f>'Program 10'!C58+'Program 90'!C58</f>
        <v>2642609.7700000014</v>
      </c>
      <c r="D57" s="119">
        <f>'Program 10'!B58+'Program 90'!B58</f>
        <v>37.800000000000004</v>
      </c>
      <c r="F57" s="131">
        <f t="shared" si="0"/>
        <v>69910.311375661404</v>
      </c>
      <c r="G57" s="120"/>
    </row>
    <row r="58" spans="1:7" ht="18.600000000000001" customHeight="1" x14ac:dyDescent="0.25">
      <c r="A58" s="118" t="s">
        <v>18</v>
      </c>
      <c r="C58" s="130">
        <f>'Program 10'!C59+'Program 90'!C59</f>
        <v>472564.78800000006</v>
      </c>
      <c r="D58" s="119">
        <f>'Program 10'!B59+'Program 90'!B59</f>
        <v>7.080000000000001</v>
      </c>
      <c r="F58" s="131">
        <f t="shared" si="0"/>
        <v>66746.438983050844</v>
      </c>
      <c r="G58" s="120"/>
    </row>
    <row r="59" spans="1:7" ht="18.600000000000001" customHeight="1" x14ac:dyDescent="0.25">
      <c r="A59" s="118" t="s">
        <v>51</v>
      </c>
      <c r="C59" s="130">
        <f>'Program 10'!C60+'Program 90'!C60</f>
        <v>17723258.129999969</v>
      </c>
      <c r="D59" s="119">
        <f>'Program 10'!B60+'Program 90'!B60</f>
        <v>240.75</v>
      </c>
      <c r="F59" s="131">
        <f t="shared" si="0"/>
        <v>73616.856199376823</v>
      </c>
      <c r="G59" s="120"/>
    </row>
    <row r="60" spans="1:7" ht="18.600000000000001" customHeight="1" x14ac:dyDescent="0.25">
      <c r="A60" s="118" t="s">
        <v>38</v>
      </c>
      <c r="C60" s="130">
        <f>'Program 10'!C61+'Program 90'!C61</f>
        <v>3008687</v>
      </c>
      <c r="D60" s="119">
        <f>'Program 10'!B61+'Program 90'!B61</f>
        <v>40</v>
      </c>
      <c r="F60" s="131">
        <f t="shared" si="0"/>
        <v>75217.175000000003</v>
      </c>
      <c r="G60" s="120"/>
    </row>
    <row r="61" spans="1:7" ht="18.600000000000001" customHeight="1" x14ac:dyDescent="0.25">
      <c r="A61" s="118" t="s">
        <v>52</v>
      </c>
      <c r="C61" s="130">
        <f>'Program 10'!C62+'Program 90'!C62</f>
        <v>26124437.115900006</v>
      </c>
      <c r="D61" s="119">
        <f>'Program 10'!B62+'Program 90'!B62</f>
        <v>286.32000000000005</v>
      </c>
      <c r="F61" s="131">
        <f t="shared" si="0"/>
        <v>91242.096660729265</v>
      </c>
      <c r="G61" s="120"/>
    </row>
    <row r="62" spans="1:7" ht="18.600000000000001" customHeight="1" x14ac:dyDescent="0.25">
      <c r="A62" s="118" t="s">
        <v>39</v>
      </c>
      <c r="C62" s="130">
        <f>'Program 10'!C63+'Program 90'!C63</f>
        <v>7970373.3754999992</v>
      </c>
      <c r="D62" s="119">
        <f>'Program 10'!B63+'Program 90'!B63</f>
        <v>98.75</v>
      </c>
      <c r="F62" s="131">
        <f t="shared" si="0"/>
        <v>80712.641777215176</v>
      </c>
      <c r="G62" s="120"/>
    </row>
    <row r="63" spans="1:7" ht="18.600000000000001" customHeight="1" x14ac:dyDescent="0.25">
      <c r="A63" s="118" t="s">
        <v>40</v>
      </c>
      <c r="C63" s="130">
        <f>'Program 10'!C64+'Program 90'!C64</f>
        <v>3693813.1749999998</v>
      </c>
      <c r="D63" s="119">
        <f>'Program 10'!B64+'Program 90'!B64</f>
        <v>46.750000000000014</v>
      </c>
      <c r="F63" s="131">
        <f t="shared" si="0"/>
        <v>79012.04652406415</v>
      </c>
      <c r="G63" s="120"/>
    </row>
    <row r="64" spans="1:7" ht="18.600000000000001" customHeight="1" thickBot="1" x14ac:dyDescent="0.3">
      <c r="A64" s="132" t="s">
        <v>174</v>
      </c>
      <c r="C64" s="133">
        <f>SUM(C6:C63)</f>
        <v>1401698790.3546295</v>
      </c>
      <c r="D64" s="134">
        <f>SUM(D6:D63)</f>
        <v>16024.095093067872</v>
      </c>
      <c r="F64" s="133">
        <f>C64/D64</f>
        <v>87474.442844576828</v>
      </c>
    </row>
    <row r="65" spans="1:8" ht="18.600000000000001" customHeight="1" thickTop="1" x14ac:dyDescent="0.25">
      <c r="C65" s="121"/>
      <c r="D65" s="121"/>
      <c r="F65" s="121"/>
    </row>
    <row r="66" spans="1:8" ht="18.600000000000001" customHeight="1" x14ac:dyDescent="0.25">
      <c r="A66" s="288" t="s">
        <v>80</v>
      </c>
      <c r="B66" s="288"/>
      <c r="C66" s="288"/>
      <c r="D66" s="288"/>
      <c r="E66" s="126"/>
      <c r="F66" s="143">
        <f>AVERAGE(F6:F63)</f>
        <v>79558.956906529143</v>
      </c>
    </row>
    <row r="67" spans="1:8" ht="18.600000000000001" customHeight="1" x14ac:dyDescent="0.25">
      <c r="A67" s="126"/>
      <c r="C67" s="126"/>
      <c r="D67" s="126"/>
      <c r="F67" s="122"/>
      <c r="H67" s="262"/>
    </row>
    <row r="68" spans="1:8" ht="18.600000000000001" customHeight="1" x14ac:dyDescent="0.25">
      <c r="A68" s="127" t="s">
        <v>239</v>
      </c>
      <c r="F68" s="123"/>
    </row>
    <row r="69" spans="1:8" ht="53.85" customHeight="1" x14ac:dyDescent="0.25">
      <c r="A69" s="291" t="s">
        <v>172</v>
      </c>
      <c r="B69" s="291"/>
      <c r="C69" s="291"/>
      <c r="D69" s="291"/>
      <c r="E69" s="291"/>
      <c r="F69" s="291"/>
      <c r="G69" s="291"/>
      <c r="H69" s="291"/>
    </row>
    <row r="70" spans="1:8" x14ac:dyDescent="0.25">
      <c r="C70" s="124"/>
      <c r="F70" s="125"/>
    </row>
  </sheetData>
  <mergeCells count="3">
    <mergeCell ref="A66:D66"/>
    <mergeCell ref="A4:A5"/>
    <mergeCell ref="A69:H69"/>
  </mergeCells>
  <printOptions horizontalCentered="1"/>
  <pageMargins left="0.45" right="0.45" top="0.5" bottom="0.25" header="0.3" footer="0.3"/>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L67"/>
  <sheetViews>
    <sheetView zoomScaleNormal="100" workbookViewId="0">
      <pane xSplit="2" ySplit="5" topLeftCell="C6" activePane="bottomRight" state="frozen"/>
      <selection sqref="A1:XFD1048576"/>
      <selection pane="topRight" sqref="A1:XFD1048576"/>
      <selection pane="bottomLeft" sqref="A1:XFD1048576"/>
      <selection pane="bottomRight" activeCell="E6" sqref="E6"/>
    </sheetView>
  </sheetViews>
  <sheetFormatPr defaultColWidth="9.42578125" defaultRowHeight="15" x14ac:dyDescent="0.25"/>
  <cols>
    <col min="1" max="1" width="8.42578125" style="193" customWidth="1"/>
    <col min="2" max="2" width="14.5703125" style="193" customWidth="1"/>
    <col min="3" max="3" width="14" style="193" customWidth="1"/>
    <col min="4" max="4" width="14.42578125" style="193" customWidth="1"/>
    <col min="5" max="5" width="12.5703125" style="193" customWidth="1"/>
    <col min="6" max="6" width="14.42578125" style="211" customWidth="1"/>
    <col min="7" max="7" width="16.42578125" style="211" customWidth="1"/>
    <col min="8" max="8" width="13.42578125" style="212" customWidth="1"/>
    <col min="9" max="10" width="0.5703125" style="193" customWidth="1"/>
    <col min="11" max="11" width="8.5703125" style="194" bestFit="1" customWidth="1"/>
    <col min="12" max="16384" width="9.42578125" style="193"/>
  </cols>
  <sheetData>
    <row r="1" spans="1:11" ht="18.75" x14ac:dyDescent="0.25">
      <c r="A1" s="205" t="s">
        <v>184</v>
      </c>
      <c r="B1" s="128"/>
      <c r="C1" s="128"/>
      <c r="D1" s="128"/>
      <c r="E1" s="128"/>
      <c r="F1" s="208"/>
      <c r="G1" s="208"/>
      <c r="H1" s="128"/>
    </row>
    <row r="2" spans="1:11" x14ac:dyDescent="0.25">
      <c r="A2" s="49"/>
      <c r="B2" s="128"/>
      <c r="C2" s="128"/>
      <c r="D2" s="128"/>
      <c r="E2" s="128"/>
      <c r="F2" s="208"/>
      <c r="G2" s="208"/>
      <c r="H2" s="128"/>
    </row>
    <row r="3" spans="1:11" x14ac:dyDescent="0.25">
      <c r="A3" s="195"/>
      <c r="B3" s="195"/>
      <c r="C3" s="195"/>
      <c r="D3" s="195"/>
      <c r="E3" s="195"/>
      <c r="F3" s="209"/>
      <c r="G3" s="209"/>
      <c r="H3" s="195"/>
    </row>
    <row r="4" spans="1:11" ht="49.5" customHeight="1" x14ac:dyDescent="0.25">
      <c r="A4" s="292" t="s">
        <v>68</v>
      </c>
      <c r="B4" s="292" t="s">
        <v>63</v>
      </c>
      <c r="C4" s="214" t="s">
        <v>204</v>
      </c>
      <c r="D4" s="196" t="str">
        <f>"FTE Dollar Factor Applied ("&amp;TEXT('AVG RAS salary'!F66,"$##,###")&amp;" * BLS)"</f>
        <v>FTE Dollar Factor Applied ($79,559 * BLS)</v>
      </c>
      <c r="E4" s="196" t="s">
        <v>205</v>
      </c>
      <c r="F4" s="196" t="s">
        <v>98</v>
      </c>
      <c r="G4" s="214" t="str">
        <f>"Has FTE Need &lt;50 AND FTE Dollar Factor is Less Than Median of "&amp;TEXT(D67,"$##,###")&amp;"?"</f>
        <v>Has FTE Need &lt;50 AND FTE Dollar Factor is Less Than Median of $62,235?</v>
      </c>
      <c r="H4" s="74" t="s">
        <v>69</v>
      </c>
      <c r="K4" s="194" t="s">
        <v>81</v>
      </c>
    </row>
    <row r="5" spans="1:11" x14ac:dyDescent="0.25">
      <c r="A5" s="293"/>
      <c r="B5" s="293"/>
      <c r="C5" s="78" t="s">
        <v>65</v>
      </c>
      <c r="D5" s="78" t="s">
        <v>1</v>
      </c>
      <c r="E5" s="78" t="s">
        <v>66</v>
      </c>
      <c r="F5" s="78" t="s">
        <v>2</v>
      </c>
      <c r="G5" s="78" t="s">
        <v>3</v>
      </c>
      <c r="H5" s="78" t="s">
        <v>93</v>
      </c>
    </row>
    <row r="6" spans="1:11" x14ac:dyDescent="0.25">
      <c r="A6" s="206">
        <v>4</v>
      </c>
      <c r="B6" s="197" t="s">
        <v>53</v>
      </c>
      <c r="C6" s="144">
        <f>VLOOKUP(B6,BLS!$B$7:$I$64,8,FALSE)</f>
        <v>1.4916231632232666</v>
      </c>
      <c r="D6" s="130">
        <f>C6*'AVG RAS salary'!$F$66</f>
        <v>118671.98296366056</v>
      </c>
      <c r="E6" s="207">
        <f>VLOOKUP(B6,'WF Need'!B7:F64,5,FALSE)</f>
        <v>529</v>
      </c>
      <c r="F6" s="210" t="str">
        <f t="shared" ref="F6:F63" si="0">IF(E6&lt;50,"Yes","")</f>
        <v/>
      </c>
      <c r="G6" s="210" t="str">
        <f t="shared" ref="G6:G63" si="1">IF(F6="Yes",(IF(D6&lt;$D$67,"Yes","")),"")</f>
        <v/>
      </c>
      <c r="H6" s="154">
        <f>IF(F6="Yes", IF(G6="Yes",$D$67,D6),D6)</f>
        <v>118671.98296366056</v>
      </c>
      <c r="K6" s="198" t="str">
        <f>IF(F6="Yes",D6,"")</f>
        <v/>
      </c>
    </row>
    <row r="7" spans="1:11" x14ac:dyDescent="0.25">
      <c r="A7" s="206">
        <v>1</v>
      </c>
      <c r="B7" s="197" t="s">
        <v>4</v>
      </c>
      <c r="C7" s="144">
        <f>VLOOKUP(B7,BLS!$B$7:$I$64,8,FALSE)</f>
        <v>0.77512019872665405</v>
      </c>
      <c r="D7" s="130">
        <f>C7*'AVG RAS salary'!$F$66</f>
        <v>61667.754487874176</v>
      </c>
      <c r="E7" s="207">
        <f>VLOOKUP(B7,'WF Need'!B8:F65,5,FALSE)</f>
        <v>3</v>
      </c>
      <c r="F7" s="210" t="str">
        <f t="shared" si="0"/>
        <v>Yes</v>
      </c>
      <c r="G7" s="210" t="str">
        <f t="shared" si="1"/>
        <v>Yes</v>
      </c>
      <c r="H7" s="215">
        <f>IF(F7="Yes", IF(G7="Yes",$D$67,D7),D7)</f>
        <v>62235.424545428643</v>
      </c>
      <c r="K7" s="198">
        <f>IF(F7="Yes",D7,"")</f>
        <v>61667.754487874176</v>
      </c>
    </row>
    <row r="8" spans="1:11" x14ac:dyDescent="0.25">
      <c r="A8" s="206">
        <v>1</v>
      </c>
      <c r="B8" s="197" t="s">
        <v>5</v>
      </c>
      <c r="C8" s="144">
        <f>VLOOKUP(B8,BLS!$B$7:$I$64,8,FALSE)</f>
        <v>0.95808970928192139</v>
      </c>
      <c r="D8" s="130">
        <f>C8*'AVG RAS salary'!$F$66</f>
        <v>76224.617893349423</v>
      </c>
      <c r="E8" s="207">
        <f>VLOOKUP(B8,'WF Need'!B9:F66,5,FALSE)</f>
        <v>31</v>
      </c>
      <c r="F8" s="210" t="str">
        <f t="shared" si="0"/>
        <v>Yes</v>
      </c>
      <c r="G8" s="210" t="str">
        <f t="shared" si="1"/>
        <v/>
      </c>
      <c r="H8" s="215">
        <f t="shared" ref="H8:H63" si="2">IF(F8="Yes", IF(G8="Yes",$D$67,D8),D8)</f>
        <v>76224.617893349423</v>
      </c>
      <c r="K8" s="198">
        <f t="shared" ref="K8:K62" si="3">IF(F8="Yes",D8,"")</f>
        <v>76224.617893349423</v>
      </c>
    </row>
    <row r="9" spans="1:11" x14ac:dyDescent="0.25">
      <c r="A9" s="206">
        <v>2</v>
      </c>
      <c r="B9" s="197" t="s">
        <v>19</v>
      </c>
      <c r="C9" s="144">
        <f>VLOOKUP(B9,BLS!$B$7:$I$64,8,FALSE)</f>
        <v>0.87273114919662476</v>
      </c>
      <c r="D9" s="130">
        <f>C9*'AVG RAS salary'!$F$66</f>
        <v>69433.579889919929</v>
      </c>
      <c r="E9" s="207">
        <f>VLOOKUP(B9,'WF Need'!B10:F67,5,FALSE)</f>
        <v>120</v>
      </c>
      <c r="F9" s="210" t="str">
        <f t="shared" si="0"/>
        <v/>
      </c>
      <c r="G9" s="210" t="str">
        <f t="shared" si="1"/>
        <v/>
      </c>
      <c r="H9" s="215">
        <f t="shared" si="2"/>
        <v>69433.579889919929</v>
      </c>
      <c r="K9" s="198" t="str">
        <f t="shared" si="3"/>
        <v/>
      </c>
    </row>
    <row r="10" spans="1:11" x14ac:dyDescent="0.25">
      <c r="A10" s="206">
        <v>1</v>
      </c>
      <c r="B10" s="197" t="s">
        <v>6</v>
      </c>
      <c r="C10" s="144">
        <f>VLOOKUP(B10,BLS!$B$7:$I$64,8,FALSE)</f>
        <v>0.84809130430221558</v>
      </c>
      <c r="D10" s="130">
        <f>C10*'AVG RAS salary'!$F$66</f>
        <v>67473.259531782067</v>
      </c>
      <c r="E10" s="207">
        <f>VLOOKUP(B10,'WF Need'!B11:F68,5,FALSE)</f>
        <v>26</v>
      </c>
      <c r="F10" s="210" t="str">
        <f t="shared" si="0"/>
        <v>Yes</v>
      </c>
      <c r="G10" s="210" t="str">
        <f t="shared" si="1"/>
        <v/>
      </c>
      <c r="H10" s="215">
        <f t="shared" si="2"/>
        <v>67473.259531782067</v>
      </c>
      <c r="K10" s="198">
        <f t="shared" si="3"/>
        <v>67473.259531782067</v>
      </c>
    </row>
    <row r="11" spans="1:11" x14ac:dyDescent="0.25">
      <c r="A11" s="206">
        <v>1</v>
      </c>
      <c r="B11" s="197" t="s">
        <v>7</v>
      </c>
      <c r="C11" s="144">
        <f>VLOOKUP(B11,BLS!$B$7:$I$64,8,FALSE)</f>
        <v>0.73545956611633301</v>
      </c>
      <c r="D11" s="130">
        <f>C11*'AVG RAS salary'!$F$66</f>
        <v>58512.39592714396</v>
      </c>
      <c r="E11" s="207">
        <f>VLOOKUP(B11,'WF Need'!B12:F70,5,FALSE)</f>
        <v>18</v>
      </c>
      <c r="F11" s="210" t="str">
        <f t="shared" si="0"/>
        <v>Yes</v>
      </c>
      <c r="G11" s="210" t="str">
        <f t="shared" si="1"/>
        <v>Yes</v>
      </c>
      <c r="H11" s="215">
        <f>IF(F11="Yes", IF(G11="Yes",$D$67,D11),D11)</f>
        <v>62235.424545428643</v>
      </c>
      <c r="K11" s="198">
        <f t="shared" si="3"/>
        <v>58512.39592714396</v>
      </c>
    </row>
    <row r="12" spans="1:11" x14ac:dyDescent="0.25">
      <c r="A12" s="206">
        <v>3</v>
      </c>
      <c r="B12" s="197" t="s">
        <v>41</v>
      </c>
      <c r="C12" s="144">
        <f>VLOOKUP(B12,BLS!$B$7:$I$64,8,FALSE)</f>
        <v>1.3317590951919556</v>
      </c>
      <c r="D12" s="130">
        <f>C12*'AVG RAS salary'!$F$66</f>
        <v>105953.36446425504</v>
      </c>
      <c r="E12" s="207">
        <f>VLOOKUP(B12,'WF Need'!B13:F72,5,FALSE)</f>
        <v>342</v>
      </c>
      <c r="F12" s="210" t="str">
        <f t="shared" si="0"/>
        <v/>
      </c>
      <c r="G12" s="210" t="str">
        <f t="shared" si="1"/>
        <v/>
      </c>
      <c r="H12" s="215">
        <f t="shared" si="2"/>
        <v>105953.36446425504</v>
      </c>
      <c r="K12" s="198" t="str">
        <f t="shared" si="3"/>
        <v/>
      </c>
    </row>
    <row r="13" spans="1:11" x14ac:dyDescent="0.25">
      <c r="A13" s="206">
        <v>1</v>
      </c>
      <c r="B13" s="197" t="s">
        <v>8</v>
      </c>
      <c r="C13" s="144">
        <f>VLOOKUP(B13,BLS!$B$7:$I$64,8,FALSE)</f>
        <v>0.75103825330734253</v>
      </c>
      <c r="D13" s="130">
        <f>C13*'AVG RAS salary'!$F$66</f>
        <v>59751.820030033785</v>
      </c>
      <c r="E13" s="207">
        <f>VLOOKUP(B13,'WF Need'!B14:F72,5,FALSE)</f>
        <v>27</v>
      </c>
      <c r="F13" s="210" t="str">
        <f t="shared" si="0"/>
        <v>Yes</v>
      </c>
      <c r="G13" s="210" t="str">
        <f t="shared" si="1"/>
        <v>Yes</v>
      </c>
      <c r="H13" s="215">
        <f t="shared" si="2"/>
        <v>62235.424545428643</v>
      </c>
      <c r="K13" s="198">
        <f t="shared" si="3"/>
        <v>59751.820030033785</v>
      </c>
    </row>
    <row r="14" spans="1:11" x14ac:dyDescent="0.25">
      <c r="A14" s="206">
        <v>2</v>
      </c>
      <c r="B14" s="197" t="s">
        <v>20</v>
      </c>
      <c r="C14" s="144">
        <f>VLOOKUP(B14,BLS!$B$7:$I$64,8,FALSE)</f>
        <v>1.1130379438400269</v>
      </c>
      <c r="D14" s="130">
        <f>C14*'AVG RAS salary'!$F$66</f>
        <v>88552.137809300504</v>
      </c>
      <c r="E14" s="207">
        <f>VLOOKUP(B14,'WF Need'!B15:F72,5,FALSE)</f>
        <v>74</v>
      </c>
      <c r="F14" s="210" t="str">
        <f t="shared" si="0"/>
        <v/>
      </c>
      <c r="G14" s="210" t="str">
        <f t="shared" si="1"/>
        <v/>
      </c>
      <c r="H14" s="215">
        <f t="shared" si="2"/>
        <v>88552.137809300504</v>
      </c>
      <c r="K14" s="198" t="str">
        <f t="shared" si="3"/>
        <v/>
      </c>
    </row>
    <row r="15" spans="1:11" x14ac:dyDescent="0.25">
      <c r="A15" s="206">
        <v>3</v>
      </c>
      <c r="B15" s="197" t="s">
        <v>42</v>
      </c>
      <c r="C15" s="144">
        <f>VLOOKUP(B15,BLS!$B$7:$I$64,8,FALSE)</f>
        <v>0.94079649448394775</v>
      </c>
      <c r="D15" s="130">
        <f>C15*'AVG RAS salary'!$F$66</f>
        <v>74848.787762462089</v>
      </c>
      <c r="E15" s="207">
        <f>VLOOKUP(B15,'WF Need'!B16:F73,5,FALSE)</f>
        <v>488</v>
      </c>
      <c r="F15" s="210" t="str">
        <f t="shared" si="0"/>
        <v/>
      </c>
      <c r="G15" s="210" t="str">
        <f t="shared" si="1"/>
        <v/>
      </c>
      <c r="H15" s="215">
        <f t="shared" si="2"/>
        <v>74848.787762462089</v>
      </c>
      <c r="K15" s="198" t="str">
        <f t="shared" si="3"/>
        <v/>
      </c>
    </row>
    <row r="16" spans="1:11" x14ac:dyDescent="0.25">
      <c r="A16" s="206">
        <v>1</v>
      </c>
      <c r="B16" s="197" t="s">
        <v>9</v>
      </c>
      <c r="C16" s="144">
        <f>VLOOKUP(B16,BLS!$B$7:$I$64,8,FALSE)</f>
        <v>0.76542162895202637</v>
      </c>
      <c r="D16" s="130">
        <f>C16*'AVG RAS salary'!$F$66</f>
        <v>60896.146393119605</v>
      </c>
      <c r="E16" s="207">
        <f>VLOOKUP(B16,'WF Need'!B17:F74,5,FALSE)</f>
        <v>23</v>
      </c>
      <c r="F16" s="210" t="str">
        <f t="shared" si="0"/>
        <v>Yes</v>
      </c>
      <c r="G16" s="210" t="str">
        <f t="shared" si="1"/>
        <v>Yes</v>
      </c>
      <c r="H16" s="215">
        <f t="shared" si="2"/>
        <v>62235.424545428643</v>
      </c>
      <c r="K16" s="198">
        <f t="shared" si="3"/>
        <v>60896.146393119605</v>
      </c>
    </row>
    <row r="17" spans="1:11" x14ac:dyDescent="0.25">
      <c r="A17" s="206">
        <v>2</v>
      </c>
      <c r="B17" s="197" t="s">
        <v>21</v>
      </c>
      <c r="C17" s="144">
        <f>VLOOKUP(B17,BLS!$B$7:$I$64,8,FALSE)</f>
        <v>0.74500995874404907</v>
      </c>
      <c r="D17" s="130">
        <f>C17*'AVG RAS salary'!$F$66</f>
        <v>59272.215202652857</v>
      </c>
      <c r="E17" s="207">
        <f>VLOOKUP(B17,'WF Need'!B18:F75,5,FALSE)</f>
        <v>83</v>
      </c>
      <c r="F17" s="210" t="str">
        <f t="shared" si="0"/>
        <v/>
      </c>
      <c r="G17" s="210" t="str">
        <f t="shared" si="1"/>
        <v/>
      </c>
      <c r="H17" s="215">
        <f t="shared" si="2"/>
        <v>59272.215202652857</v>
      </c>
      <c r="K17" s="198" t="str">
        <f t="shared" si="3"/>
        <v/>
      </c>
    </row>
    <row r="18" spans="1:11" x14ac:dyDescent="0.25">
      <c r="A18" s="206">
        <v>2</v>
      </c>
      <c r="B18" s="197" t="s">
        <v>22</v>
      </c>
      <c r="C18" s="144">
        <f>VLOOKUP(B18,BLS!$B$7:$I$64,8,FALSE)</f>
        <v>0.7009735107421875</v>
      </c>
      <c r="D18" s="130">
        <f>C18*'AVG RAS salary'!$F$66</f>
        <v>55768.721333756141</v>
      </c>
      <c r="E18" s="207">
        <f>VLOOKUP(B18,'WF Need'!B19:F76,5,FALSE)</f>
        <v>93</v>
      </c>
      <c r="F18" s="210" t="str">
        <f t="shared" si="0"/>
        <v/>
      </c>
      <c r="G18" s="210" t="str">
        <f t="shared" si="1"/>
        <v/>
      </c>
      <c r="H18" s="215">
        <f t="shared" si="2"/>
        <v>55768.721333756141</v>
      </c>
      <c r="K18" s="198" t="str">
        <f t="shared" si="3"/>
        <v/>
      </c>
    </row>
    <row r="19" spans="1:11" x14ac:dyDescent="0.25">
      <c r="A19" s="206">
        <v>1</v>
      </c>
      <c r="B19" s="197" t="s">
        <v>10</v>
      </c>
      <c r="C19" s="144">
        <f>VLOOKUP(B19,BLS!$B$7:$I$64,8,FALSE)</f>
        <v>0.78939062356948853</v>
      </c>
      <c r="D19" s="130">
        <f>C19*'AVG RAS salary'!$F$66</f>
        <v>62803.094602983103</v>
      </c>
      <c r="E19" s="207">
        <f>VLOOKUP(B19,'WF Need'!B20:F77,5,FALSE)</f>
        <v>21</v>
      </c>
      <c r="F19" s="210" t="str">
        <f t="shared" si="0"/>
        <v>Yes</v>
      </c>
      <c r="G19" s="210" t="str">
        <f t="shared" si="1"/>
        <v/>
      </c>
      <c r="H19" s="215">
        <f t="shared" si="2"/>
        <v>62803.094602983103</v>
      </c>
      <c r="K19" s="198">
        <f t="shared" si="3"/>
        <v>62803.094602983103</v>
      </c>
    </row>
    <row r="20" spans="1:11" x14ac:dyDescent="0.25">
      <c r="A20" s="206">
        <v>3</v>
      </c>
      <c r="B20" s="197" t="s">
        <v>43</v>
      </c>
      <c r="C20" s="144">
        <f>VLOOKUP(B20,BLS!$B$7:$I$64,8,FALSE)</f>
        <v>0.9278373122215271</v>
      </c>
      <c r="D20" s="130">
        <f>C20*'AVG RAS salary'!$F$66</f>
        <v>73817.768739302308</v>
      </c>
      <c r="E20" s="207">
        <f>VLOOKUP(B20,'WF Need'!B21:F78,5,FALSE)</f>
        <v>497</v>
      </c>
      <c r="F20" s="210" t="str">
        <f t="shared" si="0"/>
        <v/>
      </c>
      <c r="G20" s="210" t="str">
        <f t="shared" si="1"/>
        <v/>
      </c>
      <c r="H20" s="215">
        <f t="shared" si="2"/>
        <v>73817.768739302308</v>
      </c>
      <c r="K20" s="198" t="str">
        <f t="shared" si="3"/>
        <v/>
      </c>
    </row>
    <row r="21" spans="1:11" x14ac:dyDescent="0.25">
      <c r="A21" s="206">
        <v>2</v>
      </c>
      <c r="B21" s="197" t="s">
        <v>23</v>
      </c>
      <c r="C21" s="144">
        <f>VLOOKUP(B21,BLS!$B$7:$I$64,8,FALSE)</f>
        <v>0.83264303207397461</v>
      </c>
      <c r="D21" s="130">
        <f>C21*'AVG RAS salary'!$F$66</f>
        <v>66244.211107295108</v>
      </c>
      <c r="E21" s="207">
        <f>VLOOKUP(B21,'WF Need'!B22:F79,5,FALSE)</f>
        <v>101</v>
      </c>
      <c r="F21" s="210" t="str">
        <f t="shared" si="0"/>
        <v/>
      </c>
      <c r="G21" s="210" t="str">
        <f t="shared" si="1"/>
        <v/>
      </c>
      <c r="H21" s="215">
        <f t="shared" si="2"/>
        <v>66244.211107295108</v>
      </c>
      <c r="K21" s="198" t="str">
        <f t="shared" si="3"/>
        <v/>
      </c>
    </row>
    <row r="22" spans="1:11" x14ac:dyDescent="0.25">
      <c r="A22" s="206">
        <v>2</v>
      </c>
      <c r="B22" s="197" t="s">
        <v>24</v>
      </c>
      <c r="C22" s="144">
        <f>VLOOKUP(B22,BLS!$B$7:$I$64,8,FALSE)</f>
        <v>0.76537024974822998</v>
      </c>
      <c r="D22" s="130">
        <f>C22*'AVG RAS salary'!$F$66</f>
        <v>60892.058717258878</v>
      </c>
      <c r="E22" s="207">
        <f>VLOOKUP(B22,'WF Need'!B23:F80,5,FALSE)</f>
        <v>58</v>
      </c>
      <c r="F22" s="210" t="str">
        <f t="shared" si="0"/>
        <v/>
      </c>
      <c r="G22" s="210" t="str">
        <f t="shared" si="1"/>
        <v/>
      </c>
      <c r="H22" s="215">
        <f t="shared" si="2"/>
        <v>60892.058717258878</v>
      </c>
      <c r="K22" s="198" t="str">
        <f t="shared" si="3"/>
        <v/>
      </c>
    </row>
    <row r="23" spans="1:11" x14ac:dyDescent="0.25">
      <c r="A23" s="206">
        <v>1</v>
      </c>
      <c r="B23" s="197" t="s">
        <v>11</v>
      </c>
      <c r="C23" s="144">
        <f>VLOOKUP(B23,BLS!$B$7:$I$64,8,FALSE)</f>
        <v>0.79294264316558838</v>
      </c>
      <c r="D23" s="130">
        <f>C23*'AVG RAS salary'!$F$66</f>
        <v>63085.689576960365</v>
      </c>
      <c r="E23" s="207">
        <f>VLOOKUP(B23,'WF Need'!B24:F81,5,FALSE)</f>
        <v>23</v>
      </c>
      <c r="F23" s="210" t="str">
        <f t="shared" si="0"/>
        <v>Yes</v>
      </c>
      <c r="G23" s="210" t="str">
        <f t="shared" si="1"/>
        <v/>
      </c>
      <c r="H23" s="215">
        <f t="shared" si="2"/>
        <v>63085.689576960365</v>
      </c>
      <c r="K23" s="198">
        <f t="shared" si="3"/>
        <v>63085.689576960365</v>
      </c>
    </row>
    <row r="24" spans="1:11" x14ac:dyDescent="0.25">
      <c r="A24" s="206">
        <v>4</v>
      </c>
      <c r="B24" s="197" t="s">
        <v>54</v>
      </c>
      <c r="C24" s="144">
        <f>VLOOKUP(B24,BLS!$B$7:$I$64,8,FALSE)</f>
        <v>1.3697676658630371</v>
      </c>
      <c r="D24" s="130">
        <f>C24*'AVG RAS salary'!$F$66</f>
        <v>108977.28670035438</v>
      </c>
      <c r="E24" s="207">
        <f>VLOOKUP(B24,'WF Need'!B25:F82,5,FALSE)</f>
        <v>4367</v>
      </c>
      <c r="F24" s="210" t="str">
        <f t="shared" si="0"/>
        <v/>
      </c>
      <c r="G24" s="210" t="str">
        <f t="shared" si="1"/>
        <v/>
      </c>
      <c r="H24" s="215">
        <f t="shared" si="2"/>
        <v>108977.28670035438</v>
      </c>
      <c r="K24" s="198" t="str">
        <f t="shared" si="3"/>
        <v/>
      </c>
    </row>
    <row r="25" spans="1:11" x14ac:dyDescent="0.25">
      <c r="A25" s="206">
        <v>2</v>
      </c>
      <c r="B25" s="197" t="s">
        <v>25</v>
      </c>
      <c r="C25" s="144">
        <f>VLOOKUP(B25,BLS!$B$7:$I$64,8,FALSE)</f>
        <v>0.90467292070388794</v>
      </c>
      <c r="D25" s="130">
        <f>C25*'AVG RAS salary'!$F$66</f>
        <v>71974.833912784481</v>
      </c>
      <c r="E25" s="207">
        <f>VLOOKUP(B25,'WF Need'!B26:F83,5,FALSE)</f>
        <v>109</v>
      </c>
      <c r="F25" s="210" t="str">
        <f t="shared" si="0"/>
        <v/>
      </c>
      <c r="G25" s="210" t="str">
        <f t="shared" si="1"/>
        <v/>
      </c>
      <c r="H25" s="215">
        <f t="shared" si="2"/>
        <v>71974.833912784481</v>
      </c>
      <c r="K25" s="198" t="str">
        <f t="shared" si="3"/>
        <v/>
      </c>
    </row>
    <row r="26" spans="1:11" x14ac:dyDescent="0.25">
      <c r="A26" s="206">
        <v>2</v>
      </c>
      <c r="B26" s="197" t="s">
        <v>26</v>
      </c>
      <c r="C26" s="144">
        <f>VLOOKUP(B26,BLS!$B$7:$I$64,8,FALSE)</f>
        <v>1.2172629833221436</v>
      </c>
      <c r="D26" s="130">
        <f>C26*'AVG RAS salary'!$F$66</f>
        <v>96844.173234039525</v>
      </c>
      <c r="E26" s="207">
        <f>VLOOKUP(B26,'WF Need'!B27:F84,5,FALSE)</f>
        <v>99</v>
      </c>
      <c r="F26" s="210" t="str">
        <f t="shared" si="0"/>
        <v/>
      </c>
      <c r="G26" s="210" t="str">
        <f t="shared" si="1"/>
        <v/>
      </c>
      <c r="H26" s="215">
        <f t="shared" si="2"/>
        <v>96844.173234039525</v>
      </c>
      <c r="K26" s="198" t="str">
        <f t="shared" si="3"/>
        <v/>
      </c>
    </row>
    <row r="27" spans="1:11" x14ac:dyDescent="0.25">
      <c r="A27" s="206">
        <v>1</v>
      </c>
      <c r="B27" s="197" t="s">
        <v>12</v>
      </c>
      <c r="C27" s="144">
        <f>VLOOKUP(B27,BLS!$B$7:$I$64,8,FALSE)</f>
        <v>0.83127254247665405</v>
      </c>
      <c r="D27" s="130">
        <f>C27*'AVG RAS salary'!$F$66</f>
        <v>66135.176384481034</v>
      </c>
      <c r="E27" s="207">
        <f>VLOOKUP(B27,'WF Need'!B28:F85,5,FALSE)</f>
        <v>13</v>
      </c>
      <c r="F27" s="210" t="str">
        <f t="shared" si="0"/>
        <v>Yes</v>
      </c>
      <c r="G27" s="210" t="str">
        <f>IF(F27="Yes",(IF(D27&lt;$D$67,"Yes","")),"")</f>
        <v/>
      </c>
      <c r="H27" s="215">
        <f t="shared" si="2"/>
        <v>66135.176384481034</v>
      </c>
      <c r="K27" s="198">
        <f t="shared" si="3"/>
        <v>66135.176384481034</v>
      </c>
    </row>
    <row r="28" spans="1:11" x14ac:dyDescent="0.25">
      <c r="A28" s="206">
        <v>2</v>
      </c>
      <c r="B28" s="197" t="s">
        <v>27</v>
      </c>
      <c r="C28" s="144">
        <f>VLOOKUP(B28,BLS!$B$7:$I$64,8,FALSE)</f>
        <v>0.7827717661857605</v>
      </c>
      <c r="D28" s="130">
        <f>C28*'AVG RAS salary'!$F$66</f>
        <v>62276.505213620629</v>
      </c>
      <c r="E28" s="207">
        <f>VLOOKUP(B28,'WF Need'!B29:F86,5,FALSE)</f>
        <v>63</v>
      </c>
      <c r="F28" s="210" t="str">
        <f t="shared" si="0"/>
        <v/>
      </c>
      <c r="G28" s="210" t="str">
        <f t="shared" si="1"/>
        <v/>
      </c>
      <c r="H28" s="215">
        <f t="shared" si="2"/>
        <v>62276.505213620629</v>
      </c>
      <c r="K28" s="198" t="str">
        <f t="shared" si="3"/>
        <v/>
      </c>
    </row>
    <row r="29" spans="1:11" x14ac:dyDescent="0.25">
      <c r="A29" s="206">
        <v>2</v>
      </c>
      <c r="B29" s="197" t="s">
        <v>28</v>
      </c>
      <c r="C29" s="144">
        <f>VLOOKUP(B29,BLS!$B$7:$I$64,8,FALSE)</f>
        <v>0.78807282447814941</v>
      </c>
      <c r="D29" s="130">
        <f>C29*'AVG RAS salary'!$F$66</f>
        <v>62698.251881863798</v>
      </c>
      <c r="E29" s="207">
        <f>VLOOKUP(B29,'WF Need'!B30:F87,5,FALSE)</f>
        <v>150</v>
      </c>
      <c r="F29" s="210" t="str">
        <f t="shared" si="0"/>
        <v/>
      </c>
      <c r="G29" s="210" t="str">
        <f t="shared" si="1"/>
        <v/>
      </c>
      <c r="H29" s="215">
        <f t="shared" si="2"/>
        <v>62698.251881863798</v>
      </c>
      <c r="K29" s="198" t="str">
        <f t="shared" si="3"/>
        <v/>
      </c>
    </row>
    <row r="30" spans="1:11" x14ac:dyDescent="0.25">
      <c r="A30" s="206">
        <v>1</v>
      </c>
      <c r="B30" s="197" t="s">
        <v>13</v>
      </c>
      <c r="C30" s="144">
        <f>VLOOKUP(B30,BLS!$B$7:$I$64,8,FALSE)</f>
        <v>0.55659377574920654</v>
      </c>
      <c r="D30" s="130">
        <f>C30*'AVG RAS salary'!$F$66</f>
        <v>44282.020219273472</v>
      </c>
      <c r="E30" s="207">
        <f>VLOOKUP(B30,'WF Need'!B31:F88,5,FALSE)</f>
        <v>11</v>
      </c>
      <c r="F30" s="210" t="str">
        <f t="shared" si="0"/>
        <v>Yes</v>
      </c>
      <c r="G30" s="210" t="str">
        <f t="shared" si="1"/>
        <v>Yes</v>
      </c>
      <c r="H30" s="215">
        <f t="shared" si="2"/>
        <v>62235.424545428643</v>
      </c>
      <c r="K30" s="198">
        <f t="shared" si="3"/>
        <v>44282.020219273472</v>
      </c>
    </row>
    <row r="31" spans="1:11" x14ac:dyDescent="0.25">
      <c r="A31" s="206">
        <v>1</v>
      </c>
      <c r="B31" s="197" t="s">
        <v>14</v>
      </c>
      <c r="C31" s="144">
        <f>VLOOKUP(B31,BLS!$B$7:$I$64,8,FALSE)</f>
        <v>0.89388126134872437</v>
      </c>
      <c r="D31" s="130">
        <f>C31*'AVG RAS salary'!$F$66</f>
        <v>71116.260751197071</v>
      </c>
      <c r="E31" s="207">
        <f>VLOOKUP(B31,'WF Need'!B32:F89,5,FALSE)</f>
        <v>11</v>
      </c>
      <c r="F31" s="210" t="str">
        <f t="shared" si="0"/>
        <v>Yes</v>
      </c>
      <c r="G31" s="210" t="str">
        <f t="shared" si="1"/>
        <v/>
      </c>
      <c r="H31" s="215">
        <f t="shared" si="2"/>
        <v>71116.260751197071</v>
      </c>
      <c r="K31" s="198">
        <f t="shared" si="3"/>
        <v>71116.260751197071</v>
      </c>
    </row>
    <row r="32" spans="1:11" x14ac:dyDescent="0.25">
      <c r="A32" s="206">
        <v>3</v>
      </c>
      <c r="B32" s="197" t="s">
        <v>44</v>
      </c>
      <c r="C32" s="144">
        <f>VLOOKUP(B32,BLS!$B$7:$I$64,8,FALSE)</f>
        <v>1.1378327608108521</v>
      </c>
      <c r="D32" s="130">
        <f>C32*'AVG RAS salary'!$F$66</f>
        <v>90524.787584187667</v>
      </c>
      <c r="E32" s="207">
        <f>VLOOKUP(B32,'WF Need'!B33:F90,5,FALSE)</f>
        <v>197</v>
      </c>
      <c r="F32" s="210" t="str">
        <f t="shared" si="0"/>
        <v/>
      </c>
      <c r="G32" s="210" t="str">
        <f t="shared" si="1"/>
        <v/>
      </c>
      <c r="H32" s="215">
        <f t="shared" si="2"/>
        <v>90524.787584187667</v>
      </c>
      <c r="K32" s="198" t="str">
        <f t="shared" si="3"/>
        <v/>
      </c>
    </row>
    <row r="33" spans="1:11" x14ac:dyDescent="0.25">
      <c r="A33" s="206">
        <v>2</v>
      </c>
      <c r="B33" s="197" t="s">
        <v>29</v>
      </c>
      <c r="C33" s="144">
        <f>VLOOKUP(B33,BLS!$B$7:$I$64,8,FALSE)</f>
        <v>1.2704272270202637</v>
      </c>
      <c r="D33" s="130">
        <f>C33*'AVG RAS salary'!$F$66</f>
        <v>101073.86500738647</v>
      </c>
      <c r="E33" s="207">
        <f>VLOOKUP(B33,'WF Need'!B34:F91,5,FALSE)</f>
        <v>66</v>
      </c>
      <c r="F33" s="210" t="str">
        <f t="shared" si="0"/>
        <v/>
      </c>
      <c r="G33" s="210" t="str">
        <f t="shared" si="1"/>
        <v/>
      </c>
      <c r="H33" s="215">
        <f t="shared" si="2"/>
        <v>101073.86500738647</v>
      </c>
      <c r="K33" s="198" t="str">
        <f t="shared" si="3"/>
        <v/>
      </c>
    </row>
    <row r="34" spans="1:11" x14ac:dyDescent="0.25">
      <c r="A34" s="206">
        <v>2</v>
      </c>
      <c r="B34" s="197" t="s">
        <v>30</v>
      </c>
      <c r="C34" s="144">
        <f>VLOOKUP(B34,BLS!$B$7:$I$64,8,FALSE)</f>
        <v>1.0598667860031128</v>
      </c>
      <c r="D34" s="130">
        <f>C34*'AVG RAS salary'!$F$66</f>
        <v>84321.895954283202</v>
      </c>
      <c r="E34" s="207">
        <f>VLOOKUP(B34,'WF Need'!B35:F92,5,FALSE)</f>
        <v>47</v>
      </c>
      <c r="F34" s="210" t="str">
        <f t="shared" si="0"/>
        <v>Yes</v>
      </c>
      <c r="G34" s="210" t="str">
        <f t="shared" si="1"/>
        <v/>
      </c>
      <c r="H34" s="215">
        <f t="shared" si="2"/>
        <v>84321.895954283202</v>
      </c>
      <c r="K34" s="198">
        <f t="shared" si="3"/>
        <v>84321.895954283202</v>
      </c>
    </row>
    <row r="35" spans="1:11" x14ac:dyDescent="0.25">
      <c r="A35" s="206">
        <v>4</v>
      </c>
      <c r="B35" s="197" t="s">
        <v>55</v>
      </c>
      <c r="C35" s="144">
        <f>VLOOKUP(B35,BLS!$B$7:$I$64,8,FALSE)</f>
        <v>1.2253736257553101</v>
      </c>
      <c r="D35" s="130">
        <f>C35*'AVG RAS salary'!$F$66</f>
        <v>97489.44748586409</v>
      </c>
      <c r="E35" s="207">
        <f>VLOOKUP(B35,'WF Need'!B36:F93,5,FALSE)</f>
        <v>1314</v>
      </c>
      <c r="F35" s="210" t="str">
        <f t="shared" si="0"/>
        <v/>
      </c>
      <c r="G35" s="210" t="str">
        <f t="shared" si="1"/>
        <v/>
      </c>
      <c r="H35" s="215">
        <f t="shared" si="2"/>
        <v>97489.44748586409</v>
      </c>
      <c r="K35" s="198" t="str">
        <f t="shared" si="3"/>
        <v/>
      </c>
    </row>
    <row r="36" spans="1:11" x14ac:dyDescent="0.25">
      <c r="A36" s="206">
        <v>2</v>
      </c>
      <c r="B36" s="197" t="s">
        <v>31</v>
      </c>
      <c r="C36" s="144">
        <f>VLOOKUP(B36,BLS!$B$7:$I$64,8,FALSE)</f>
        <v>1.1566240787506104</v>
      </c>
      <c r="D36" s="130">
        <f>C36*'AVG RAS salary'!$F$66</f>
        <v>92019.805238373781</v>
      </c>
      <c r="E36" s="207">
        <f>VLOOKUP(B36,'WF Need'!B37:F94,5,FALSE)</f>
        <v>171</v>
      </c>
      <c r="F36" s="210" t="str">
        <f t="shared" si="0"/>
        <v/>
      </c>
      <c r="G36" s="210" t="str">
        <f t="shared" si="1"/>
        <v/>
      </c>
      <c r="H36" s="215">
        <f t="shared" si="2"/>
        <v>92019.805238373781</v>
      </c>
      <c r="K36" s="198" t="str">
        <f t="shared" si="3"/>
        <v/>
      </c>
    </row>
    <row r="37" spans="1:11" x14ac:dyDescent="0.25">
      <c r="A37" s="206">
        <v>1</v>
      </c>
      <c r="B37" s="197" t="s">
        <v>15</v>
      </c>
      <c r="C37" s="144">
        <f>VLOOKUP(B37,BLS!$B$7:$I$64,8,FALSE)</f>
        <v>0.72069120407104492</v>
      </c>
      <c r="D37" s="130">
        <f>C37*'AVG RAS salary'!$F$66</f>
        <v>57337.440447602865</v>
      </c>
      <c r="E37" s="207">
        <f>VLOOKUP(B37,'WF Need'!B38:F95,5,FALSE)</f>
        <v>13</v>
      </c>
      <c r="F37" s="210" t="str">
        <f t="shared" si="0"/>
        <v>Yes</v>
      </c>
      <c r="G37" s="210" t="str">
        <f t="shared" si="1"/>
        <v>Yes</v>
      </c>
      <c r="H37" s="215">
        <f t="shared" si="2"/>
        <v>62235.424545428643</v>
      </c>
      <c r="K37" s="198">
        <f t="shared" si="3"/>
        <v>57337.440447602865</v>
      </c>
    </row>
    <row r="38" spans="1:11" x14ac:dyDescent="0.25">
      <c r="A38" s="206">
        <v>4</v>
      </c>
      <c r="B38" s="197" t="s">
        <v>56</v>
      </c>
      <c r="C38" s="144">
        <f>VLOOKUP(B38,BLS!$B$7:$I$64,8,FALSE)</f>
        <v>1.0623291730880737</v>
      </c>
      <c r="D38" s="130">
        <f>C38*'AVG RAS salary'!$F$66</f>
        <v>84517.800902262796</v>
      </c>
      <c r="E38" s="207">
        <f>VLOOKUP(B38,'WF Need'!B39:F96,5,FALSE)</f>
        <v>1071</v>
      </c>
      <c r="F38" s="210" t="str">
        <f t="shared" si="0"/>
        <v/>
      </c>
      <c r="G38" s="210" t="str">
        <f t="shared" si="1"/>
        <v/>
      </c>
      <c r="H38" s="215">
        <f t="shared" si="2"/>
        <v>84517.800902262796</v>
      </c>
      <c r="K38" s="198" t="str">
        <f t="shared" si="3"/>
        <v/>
      </c>
    </row>
    <row r="39" spans="1:11" x14ac:dyDescent="0.25">
      <c r="A39" s="206">
        <v>4</v>
      </c>
      <c r="B39" s="197" t="s">
        <v>57</v>
      </c>
      <c r="C39" s="144">
        <f>VLOOKUP(B39,BLS!$B$7:$I$64,8,FALSE)</f>
        <v>1.3254303932189941</v>
      </c>
      <c r="D39" s="130">
        <f>C39*'AVG RAS salary'!$F$66</f>
        <v>105449.85953671394</v>
      </c>
      <c r="E39" s="207">
        <f>VLOOKUP(B39,'WF Need'!B40:F97,5,FALSE)</f>
        <v>699</v>
      </c>
      <c r="F39" s="210" t="str">
        <f t="shared" si="0"/>
        <v/>
      </c>
      <c r="G39" s="210" t="str">
        <f t="shared" si="1"/>
        <v/>
      </c>
      <c r="H39" s="215">
        <f t="shared" si="2"/>
        <v>105449.85953671394</v>
      </c>
      <c r="K39" s="198" t="str">
        <f t="shared" si="3"/>
        <v/>
      </c>
    </row>
    <row r="40" spans="1:11" x14ac:dyDescent="0.25">
      <c r="A40" s="206">
        <v>1</v>
      </c>
      <c r="B40" s="197" t="s">
        <v>16</v>
      </c>
      <c r="C40" s="144">
        <f>VLOOKUP(B40,BLS!$B$7:$I$64,8,FALSE)</f>
        <v>1.0067623853683472</v>
      </c>
      <c r="D40" s="130">
        <f>C40*'AVG RAS salary'!$F$66</f>
        <v>80096.965232634815</v>
      </c>
      <c r="E40" s="207">
        <f>VLOOKUP(B40,'WF Need'!B41:F98,5,FALSE)</f>
        <v>33</v>
      </c>
      <c r="F40" s="210" t="str">
        <f t="shared" si="0"/>
        <v>Yes</v>
      </c>
      <c r="G40" s="210" t="str">
        <f t="shared" si="1"/>
        <v/>
      </c>
      <c r="H40" s="215">
        <f t="shared" si="2"/>
        <v>80096.965232634815</v>
      </c>
      <c r="K40" s="198">
        <f t="shared" si="3"/>
        <v>80096.965232634815</v>
      </c>
    </row>
    <row r="41" spans="1:11" x14ac:dyDescent="0.25">
      <c r="A41" s="206">
        <v>4</v>
      </c>
      <c r="B41" s="197" t="s">
        <v>58</v>
      </c>
      <c r="C41" s="144">
        <f>VLOOKUP(B41,BLS!$B$7:$I$64,8,FALSE)</f>
        <v>1.1444829702377319</v>
      </c>
      <c r="D41" s="130">
        <f>C41*'AVG RAS salary'!$F$66</f>
        <v>91053.871309400187</v>
      </c>
      <c r="E41" s="207">
        <f>VLOOKUP(B41,'WF Need'!B42:F99,5,FALSE)</f>
        <v>1109</v>
      </c>
      <c r="F41" s="210" t="str">
        <f t="shared" si="0"/>
        <v/>
      </c>
      <c r="G41" s="210" t="str">
        <f t="shared" si="1"/>
        <v/>
      </c>
      <c r="H41" s="215">
        <f t="shared" si="2"/>
        <v>91053.871309400187</v>
      </c>
      <c r="K41" s="198" t="str">
        <f t="shared" si="3"/>
        <v/>
      </c>
    </row>
    <row r="42" spans="1:11" x14ac:dyDescent="0.25">
      <c r="A42" s="206">
        <v>4</v>
      </c>
      <c r="B42" s="197" t="s">
        <v>59</v>
      </c>
      <c r="C42" s="144">
        <f>VLOOKUP(B42,BLS!$B$7:$I$64,8,FALSE)</f>
        <v>1.1781414747238159</v>
      </c>
      <c r="D42" s="130">
        <f>C42*'AVG RAS salary'!$F$66</f>
        <v>93731.706817346771</v>
      </c>
      <c r="E42" s="207">
        <f>VLOOKUP(B42,'WF Need'!B43:F100,5,FALSE)</f>
        <v>1111</v>
      </c>
      <c r="F42" s="210" t="str">
        <f t="shared" si="0"/>
        <v/>
      </c>
      <c r="G42" s="210" t="str">
        <f t="shared" si="1"/>
        <v/>
      </c>
      <c r="H42" s="215">
        <f t="shared" si="2"/>
        <v>93731.706817346771</v>
      </c>
      <c r="K42" s="198" t="str">
        <f t="shared" si="3"/>
        <v/>
      </c>
    </row>
    <row r="43" spans="1:11" x14ac:dyDescent="0.25">
      <c r="A43" s="206">
        <v>3</v>
      </c>
      <c r="B43" s="197" t="s">
        <v>60</v>
      </c>
      <c r="C43" s="144">
        <f>VLOOKUP(B43,BLS!$B$7:$I$64,8,FALSE)</f>
        <v>1.6870681047439575</v>
      </c>
      <c r="D43" s="130">
        <f>C43*'AVG RAS salary'!$F$66</f>
        <v>134221.37864370432</v>
      </c>
      <c r="E43" s="207">
        <f>VLOOKUP(B43,'WF Need'!B44:F101,5,FALSE)</f>
        <v>279</v>
      </c>
      <c r="F43" s="210" t="str">
        <f t="shared" si="0"/>
        <v/>
      </c>
      <c r="G43" s="210" t="str">
        <f t="shared" si="1"/>
        <v/>
      </c>
      <c r="H43" s="215">
        <f t="shared" si="2"/>
        <v>134221.37864370432</v>
      </c>
      <c r="K43" s="198" t="str">
        <f t="shared" si="3"/>
        <v/>
      </c>
    </row>
    <row r="44" spans="1:11" x14ac:dyDescent="0.25">
      <c r="A44" s="206">
        <v>3</v>
      </c>
      <c r="B44" s="197" t="s">
        <v>45</v>
      </c>
      <c r="C44" s="144">
        <f>VLOOKUP(B44,BLS!$B$7:$I$64,8,FALSE)</f>
        <v>1.0517959594726563</v>
      </c>
      <c r="D44" s="130">
        <f>C44*'AVG RAS salary'!$F$66</f>
        <v>83679.789414146537</v>
      </c>
      <c r="E44" s="207">
        <f>VLOOKUP(B44,'WF Need'!B45:F102,5,FALSE)</f>
        <v>360</v>
      </c>
      <c r="F44" s="210" t="str">
        <f t="shared" si="0"/>
        <v/>
      </c>
      <c r="G44" s="210" t="str">
        <f t="shared" si="1"/>
        <v/>
      </c>
      <c r="H44" s="215">
        <f t="shared" si="2"/>
        <v>83679.789414146537</v>
      </c>
      <c r="K44" s="198" t="str">
        <f t="shared" si="3"/>
        <v/>
      </c>
    </row>
    <row r="45" spans="1:11" x14ac:dyDescent="0.25">
      <c r="A45" s="206">
        <v>2</v>
      </c>
      <c r="B45" s="197" t="s">
        <v>32</v>
      </c>
      <c r="C45" s="144">
        <f>VLOOKUP(B45,BLS!$B$7:$I$64,8,FALSE)</f>
        <v>1.0185075998306274</v>
      </c>
      <c r="D45" s="130">
        <f>C45*'AVG RAS salary'!$F$66</f>
        <v>81031.402243897319</v>
      </c>
      <c r="E45" s="207">
        <f>VLOOKUP(B45,'WF Need'!B46:F103,5,FALSE)</f>
        <v>137</v>
      </c>
      <c r="F45" s="210" t="str">
        <f t="shared" si="0"/>
        <v/>
      </c>
      <c r="G45" s="210" t="str">
        <f t="shared" si="1"/>
        <v/>
      </c>
      <c r="H45" s="215">
        <f t="shared" si="2"/>
        <v>81031.402243897319</v>
      </c>
      <c r="K45" s="198" t="str">
        <f t="shared" si="3"/>
        <v/>
      </c>
    </row>
    <row r="46" spans="1:11" x14ac:dyDescent="0.25">
      <c r="A46" s="206">
        <v>3</v>
      </c>
      <c r="B46" s="197" t="s">
        <v>46</v>
      </c>
      <c r="C46" s="144">
        <f>VLOOKUP(B46,BLS!$B$7:$I$64,8,FALSE)</f>
        <v>1.6112679243087769</v>
      </c>
      <c r="D46" s="130">
        <f>C46*'AVG RAS salary'!$F$66</f>
        <v>128190.79535495464</v>
      </c>
      <c r="E46" s="207">
        <f>VLOOKUP(B46,'WF Need'!B47:F104,5,FALSE)</f>
        <v>250</v>
      </c>
      <c r="F46" s="210" t="str">
        <f t="shared" si="0"/>
        <v/>
      </c>
      <c r="G46" s="210" t="str">
        <f t="shared" si="1"/>
        <v/>
      </c>
      <c r="H46" s="215">
        <f t="shared" si="2"/>
        <v>128190.79535495464</v>
      </c>
      <c r="K46" s="198" t="str">
        <f t="shared" si="3"/>
        <v/>
      </c>
    </row>
    <row r="47" spans="1:11" x14ac:dyDescent="0.25">
      <c r="A47" s="206">
        <v>3</v>
      </c>
      <c r="B47" s="197" t="s">
        <v>47</v>
      </c>
      <c r="C47" s="144">
        <f>VLOOKUP(B47,BLS!$B$7:$I$64,8,FALSE)</f>
        <v>1.2140299081802368</v>
      </c>
      <c r="D47" s="130">
        <f>C47*'AVG RAS salary'!$F$66</f>
        <v>96586.953148148998</v>
      </c>
      <c r="E47" s="207">
        <f>VLOOKUP(B47,'WF Need'!B48:F105,5,FALSE)</f>
        <v>187</v>
      </c>
      <c r="F47" s="210" t="str">
        <f t="shared" si="0"/>
        <v/>
      </c>
      <c r="G47" s="210" t="str">
        <f t="shared" si="1"/>
        <v/>
      </c>
      <c r="H47" s="215">
        <f t="shared" si="2"/>
        <v>96586.953148148998</v>
      </c>
      <c r="K47" s="198" t="str">
        <f t="shared" si="3"/>
        <v/>
      </c>
    </row>
    <row r="48" spans="1:11" x14ac:dyDescent="0.25">
      <c r="A48" s="206">
        <v>4</v>
      </c>
      <c r="B48" s="197" t="s">
        <v>61</v>
      </c>
      <c r="C48" s="144">
        <f>VLOOKUP(B48,BLS!$B$7:$I$64,8,FALSE)</f>
        <v>1.4843151569366455</v>
      </c>
      <c r="D48" s="130">
        <f>C48*'AVG RAS salary'!$F$66</f>
        <v>118090.56560643062</v>
      </c>
      <c r="E48" s="207">
        <f>VLOOKUP(B48,'WF Need'!B49:F106,5,FALSE)</f>
        <v>536</v>
      </c>
      <c r="F48" s="210" t="str">
        <f t="shared" si="0"/>
        <v/>
      </c>
      <c r="G48" s="210" t="str">
        <f t="shared" si="1"/>
        <v/>
      </c>
      <c r="H48" s="215">
        <f t="shared" si="2"/>
        <v>118090.56560643062</v>
      </c>
      <c r="K48" s="198" t="str">
        <f t="shared" si="3"/>
        <v/>
      </c>
    </row>
    <row r="49" spans="1:11" x14ac:dyDescent="0.25">
      <c r="A49" s="206">
        <v>2</v>
      </c>
      <c r="B49" s="197" t="s">
        <v>33</v>
      </c>
      <c r="C49" s="144">
        <f>VLOOKUP(B49,BLS!$B$7:$I$64,8,FALSE)</f>
        <v>1.1029928922653198</v>
      </c>
      <c r="D49" s="130">
        <f>C49*'AVG RAS salary'!$F$66</f>
        <v>87752.963983944515</v>
      </c>
      <c r="E49" s="207">
        <f>VLOOKUP(B49,'WF Need'!B50:F107,5,FALSE)</f>
        <v>112</v>
      </c>
      <c r="F49" s="210" t="str">
        <f t="shared" si="0"/>
        <v/>
      </c>
      <c r="G49" s="210" t="str">
        <f t="shared" si="1"/>
        <v/>
      </c>
      <c r="H49" s="215">
        <f t="shared" si="2"/>
        <v>87752.963983944515</v>
      </c>
      <c r="K49" s="198" t="str">
        <f t="shared" si="3"/>
        <v/>
      </c>
    </row>
    <row r="50" spans="1:11" x14ac:dyDescent="0.25">
      <c r="A50" s="206">
        <v>2</v>
      </c>
      <c r="B50" s="197" t="s">
        <v>34</v>
      </c>
      <c r="C50" s="144">
        <f>VLOOKUP(B50,BLS!$B$7:$I$64,8,FALSE)</f>
        <v>0.92572021484375</v>
      </c>
      <c r="D50" s="130">
        <f>C50*'AVG RAS salary'!$F$66</f>
        <v>73649.334680256812</v>
      </c>
      <c r="E50" s="207">
        <f>VLOOKUP(B50,'WF Need'!B51:F108,5,FALSE)</f>
        <v>155</v>
      </c>
      <c r="F50" s="210" t="str">
        <f t="shared" si="0"/>
        <v/>
      </c>
      <c r="G50" s="210" t="str">
        <f t="shared" si="1"/>
        <v/>
      </c>
      <c r="H50" s="215">
        <f t="shared" si="2"/>
        <v>73649.334680256812</v>
      </c>
      <c r="K50" s="198" t="str">
        <f t="shared" si="3"/>
        <v/>
      </c>
    </row>
    <row r="51" spans="1:11" x14ac:dyDescent="0.25">
      <c r="A51" s="206">
        <v>1</v>
      </c>
      <c r="B51" s="197" t="s">
        <v>17</v>
      </c>
      <c r="C51" s="144">
        <f>VLOOKUP(B51,BLS!$B$7:$I$64,8,FALSE)</f>
        <v>0.70629554986953735</v>
      </c>
      <c r="D51" s="130">
        <f>C51*'AVG RAS salary'!$F$66</f>
        <v>56192.137215343828</v>
      </c>
      <c r="E51" s="207">
        <f>VLOOKUP(B51,'WF Need'!B52:F109,5,FALSE)</f>
        <v>4</v>
      </c>
      <c r="F51" s="210" t="str">
        <f t="shared" si="0"/>
        <v>Yes</v>
      </c>
      <c r="G51" s="210" t="str">
        <f t="shared" si="1"/>
        <v>Yes</v>
      </c>
      <c r="H51" s="215">
        <f t="shared" si="2"/>
        <v>62235.424545428643</v>
      </c>
      <c r="K51" s="198">
        <f t="shared" si="3"/>
        <v>56192.137215343828</v>
      </c>
    </row>
    <row r="52" spans="1:11" x14ac:dyDescent="0.25">
      <c r="A52" s="206">
        <v>2</v>
      </c>
      <c r="B52" s="197" t="s">
        <v>35</v>
      </c>
      <c r="C52" s="144">
        <f>VLOOKUP(B52,BLS!$B$7:$I$64,8,FALSE)</f>
        <v>0.68677550554275513</v>
      </c>
      <c r="D52" s="130">
        <f>C52*'AVG RAS salary'!$F$66</f>
        <v>54639.142849935823</v>
      </c>
      <c r="E52" s="207">
        <f>VLOOKUP(B52,'WF Need'!B53:F110,5,FALSE)</f>
        <v>38</v>
      </c>
      <c r="F52" s="210" t="str">
        <f t="shared" si="0"/>
        <v>Yes</v>
      </c>
      <c r="G52" s="210" t="str">
        <f t="shared" si="1"/>
        <v>Yes</v>
      </c>
      <c r="H52" s="215">
        <f t="shared" si="2"/>
        <v>62235.424545428643</v>
      </c>
      <c r="K52" s="198">
        <f t="shared" si="3"/>
        <v>54639.142849935823</v>
      </c>
    </row>
    <row r="53" spans="1:11" x14ac:dyDescent="0.25">
      <c r="A53" s="206">
        <v>3</v>
      </c>
      <c r="B53" s="197" t="s">
        <v>48</v>
      </c>
      <c r="C53" s="144">
        <f>VLOOKUP(B53,BLS!$B$7:$I$64,8,FALSE)</f>
        <v>1.1892141103744507</v>
      </c>
      <c r="D53" s="130">
        <f>C53*'AVG RAS salary'!$F$66</f>
        <v>94612.634159917317</v>
      </c>
      <c r="E53" s="207">
        <f>VLOOKUP(B53,'WF Need'!B54:F111,5,FALSE)</f>
        <v>185</v>
      </c>
      <c r="F53" s="210" t="str">
        <f t="shared" si="0"/>
        <v/>
      </c>
      <c r="G53" s="210" t="str">
        <f t="shared" si="1"/>
        <v/>
      </c>
      <c r="H53" s="215">
        <f t="shared" si="2"/>
        <v>94612.634159917317</v>
      </c>
      <c r="K53" s="198" t="str">
        <f t="shared" si="3"/>
        <v/>
      </c>
    </row>
    <row r="54" spans="1:11" x14ac:dyDescent="0.25">
      <c r="A54" s="206">
        <v>3</v>
      </c>
      <c r="B54" s="197" t="s">
        <v>49</v>
      </c>
      <c r="C54" s="144">
        <f>VLOOKUP(B54,BLS!$B$7:$I$64,8,FALSE)</f>
        <v>1.195616602897644</v>
      </c>
      <c r="D54" s="130">
        <f>C54*'AVG RAS salary'!$F$66</f>
        <v>95122.009786664436</v>
      </c>
      <c r="E54" s="207">
        <f>VLOOKUP(B54,'WF Need'!B55:F112,5,FALSE)</f>
        <v>188</v>
      </c>
      <c r="F54" s="210" t="str">
        <f t="shared" si="0"/>
        <v/>
      </c>
      <c r="G54" s="210" t="str">
        <f t="shared" si="1"/>
        <v/>
      </c>
      <c r="H54" s="215">
        <f t="shared" si="2"/>
        <v>95122.009786664436</v>
      </c>
      <c r="K54" s="198" t="str">
        <f t="shared" si="3"/>
        <v/>
      </c>
    </row>
    <row r="55" spans="1:11" x14ac:dyDescent="0.25">
      <c r="A55" s="206">
        <v>3</v>
      </c>
      <c r="B55" s="197" t="s">
        <v>50</v>
      </c>
      <c r="C55" s="144">
        <f>VLOOKUP(B55,BLS!$B$7:$I$64,8,FALSE)</f>
        <v>1.0296658277511597</v>
      </c>
      <c r="D55" s="130">
        <f>C55*'AVG RAS salary'!$F$66</f>
        <v>81919.139218180178</v>
      </c>
      <c r="E55" s="207">
        <f>VLOOKUP(B55,'WF Need'!B56:F113,5,FALSE)</f>
        <v>280</v>
      </c>
      <c r="F55" s="210" t="str">
        <f t="shared" si="0"/>
        <v/>
      </c>
      <c r="G55" s="210" t="str">
        <f t="shared" si="1"/>
        <v/>
      </c>
      <c r="H55" s="215">
        <f t="shared" si="2"/>
        <v>81919.139218180178</v>
      </c>
      <c r="K55" s="198" t="str">
        <f t="shared" si="3"/>
        <v/>
      </c>
    </row>
    <row r="56" spans="1:11" x14ac:dyDescent="0.25">
      <c r="A56" s="206">
        <v>2</v>
      </c>
      <c r="B56" s="197" t="s">
        <v>36</v>
      </c>
      <c r="C56" s="144">
        <f>VLOOKUP(B56,BLS!$B$7:$I$64,8,FALSE)</f>
        <v>0.94268780946731567</v>
      </c>
      <c r="D56" s="130">
        <f>C56*'AVG RAS salary'!$F$66</f>
        <v>74999.25880972053</v>
      </c>
      <c r="E56" s="207">
        <f>VLOOKUP(B56,'WF Need'!B57:F114,5,FALSE)</f>
        <v>66</v>
      </c>
      <c r="F56" s="210" t="str">
        <f t="shared" si="0"/>
        <v/>
      </c>
      <c r="G56" s="210" t="str">
        <f t="shared" si="1"/>
        <v/>
      </c>
      <c r="H56" s="215">
        <f t="shared" si="2"/>
        <v>74999.25880972053</v>
      </c>
      <c r="K56" s="198" t="str">
        <f t="shared" si="3"/>
        <v/>
      </c>
    </row>
    <row r="57" spans="1:11" x14ac:dyDescent="0.25">
      <c r="A57" s="206">
        <v>2</v>
      </c>
      <c r="B57" s="197" t="s">
        <v>37</v>
      </c>
      <c r="C57" s="144">
        <f>VLOOKUP(B57,BLS!$B$7:$I$64,8,FALSE)</f>
        <v>0.76214200258255005</v>
      </c>
      <c r="D57" s="130">
        <f>C57*'AVG RAS salary'!$F$66</f>
        <v>60635.222740120924</v>
      </c>
      <c r="E57" s="207">
        <f>VLOOKUP(B57,'WF Need'!B58:F115,5,FALSE)</f>
        <v>53</v>
      </c>
      <c r="F57" s="210" t="str">
        <f t="shared" si="0"/>
        <v/>
      </c>
      <c r="G57" s="210" t="str">
        <f t="shared" si="1"/>
        <v/>
      </c>
      <c r="H57" s="215">
        <f t="shared" si="2"/>
        <v>60635.222740120924</v>
      </c>
      <c r="K57" s="198" t="str">
        <f t="shared" si="3"/>
        <v/>
      </c>
    </row>
    <row r="58" spans="1:11" x14ac:dyDescent="0.25">
      <c r="A58" s="206">
        <v>1</v>
      </c>
      <c r="B58" s="197" t="s">
        <v>18</v>
      </c>
      <c r="C58" s="144">
        <f>VLOOKUP(B58,BLS!$B$7:$I$64,8,FALSE)</f>
        <v>0.74786120653152466</v>
      </c>
      <c r="D58" s="130">
        <f>C58*'AVG RAS salary'!$F$66</f>
        <v>59499.057502506461</v>
      </c>
      <c r="E58" s="207">
        <f>VLOOKUP(B58,'WF Need'!B59:F116,5,FALSE)</f>
        <v>16</v>
      </c>
      <c r="F58" s="210" t="str">
        <f t="shared" si="0"/>
        <v>Yes</v>
      </c>
      <c r="G58" s="210" t="str">
        <f t="shared" si="1"/>
        <v>Yes</v>
      </c>
      <c r="H58" s="215">
        <f t="shared" si="2"/>
        <v>62235.424545428643</v>
      </c>
      <c r="K58" s="198">
        <f t="shared" si="3"/>
        <v>59499.057502506461</v>
      </c>
    </row>
    <row r="59" spans="1:11" x14ac:dyDescent="0.25">
      <c r="A59" s="206">
        <v>3</v>
      </c>
      <c r="B59" s="197" t="s">
        <v>51</v>
      </c>
      <c r="C59" s="144">
        <f>VLOOKUP(B59,BLS!$B$7:$I$64,8,FALSE)</f>
        <v>0.97483712434768677</v>
      </c>
      <c r="D59" s="130">
        <f>C59*'AVG RAS salary'!$F$66</f>
        <v>77557.024766862407</v>
      </c>
      <c r="E59" s="207">
        <f>VLOOKUP(B59,'WF Need'!B60:F117,5,FALSE)</f>
        <v>272</v>
      </c>
      <c r="F59" s="210" t="str">
        <f t="shared" si="0"/>
        <v/>
      </c>
      <c r="G59" s="210" t="str">
        <f t="shared" si="1"/>
        <v/>
      </c>
      <c r="H59" s="215">
        <f t="shared" si="2"/>
        <v>77557.024766862407</v>
      </c>
      <c r="K59" s="198" t="str">
        <f t="shared" si="3"/>
        <v/>
      </c>
    </row>
    <row r="60" spans="1:11" x14ac:dyDescent="0.25">
      <c r="A60" s="206">
        <v>2</v>
      </c>
      <c r="B60" s="197" t="s">
        <v>38</v>
      </c>
      <c r="C60" s="144">
        <f>VLOOKUP(B60,BLS!$B$7:$I$64,8,FALSE)</f>
        <v>0.82898223400115967</v>
      </c>
      <c r="D60" s="130">
        <f>C60*'AVG RAS salary'!$F$66</f>
        <v>65952.961831176523</v>
      </c>
      <c r="E60" s="207">
        <f>VLOOKUP(B60,'WF Need'!B61:F118,5,FALSE)</f>
        <v>40</v>
      </c>
      <c r="F60" s="210" t="str">
        <f t="shared" si="0"/>
        <v>Yes</v>
      </c>
      <c r="G60" s="210" t="str">
        <f t="shared" si="1"/>
        <v/>
      </c>
      <c r="H60" s="215">
        <f t="shared" si="2"/>
        <v>65952.961831176523</v>
      </c>
      <c r="K60" s="198">
        <f t="shared" si="3"/>
        <v>65952.961831176523</v>
      </c>
    </row>
    <row r="61" spans="1:11" x14ac:dyDescent="0.25">
      <c r="A61" s="206">
        <v>3</v>
      </c>
      <c r="B61" s="197" t="s">
        <v>52</v>
      </c>
      <c r="C61" s="144">
        <f>VLOOKUP(B61,BLS!$B$7:$I$64,8,FALSE)</f>
        <v>1.2526682615280151</v>
      </c>
      <c r="D61" s="130">
        <f>C61*'AVG RAS salary'!$F$66</f>
        <v>99660.980237084135</v>
      </c>
      <c r="E61" s="207">
        <f>VLOOKUP(B61,'WF Need'!B62:F119,5,FALSE)</f>
        <v>309</v>
      </c>
      <c r="F61" s="210" t="str">
        <f t="shared" si="0"/>
        <v/>
      </c>
      <c r="G61" s="210" t="str">
        <f t="shared" si="1"/>
        <v/>
      </c>
      <c r="H61" s="215">
        <f t="shared" si="2"/>
        <v>99660.980237084135</v>
      </c>
      <c r="K61" s="198" t="str">
        <f t="shared" si="3"/>
        <v/>
      </c>
    </row>
    <row r="62" spans="1:11" x14ac:dyDescent="0.25">
      <c r="A62" s="206">
        <v>2</v>
      </c>
      <c r="B62" s="197" t="s">
        <v>39</v>
      </c>
      <c r="C62" s="144">
        <f>VLOOKUP(B62,BLS!$B$7:$I$64,8,FALSE)</f>
        <v>1.3040177822113037</v>
      </c>
      <c r="D62" s="130">
        <f>C62*'AVG RAS salary'!$F$66</f>
        <v>103746.29454029682</v>
      </c>
      <c r="E62" s="207">
        <f>VLOOKUP(B62,'WF Need'!B63:F120,5,FALSE)</f>
        <v>99</v>
      </c>
      <c r="F62" s="210" t="str">
        <f t="shared" si="0"/>
        <v/>
      </c>
      <c r="G62" s="210" t="str">
        <f t="shared" si="1"/>
        <v/>
      </c>
      <c r="H62" s="215">
        <f t="shared" si="2"/>
        <v>103746.29454029682</v>
      </c>
      <c r="K62" s="198" t="str">
        <f t="shared" si="3"/>
        <v/>
      </c>
    </row>
    <row r="63" spans="1:11" x14ac:dyDescent="0.25">
      <c r="A63" s="206">
        <v>2</v>
      </c>
      <c r="B63" s="197" t="s">
        <v>40</v>
      </c>
      <c r="C63" s="144">
        <f>VLOOKUP(B63,BLS!$B$7:$I$64,8,FALSE)</f>
        <v>1.2190834283828735</v>
      </c>
      <c r="D63" s="130">
        <f>C63*'AVG RAS salary'!$F$66</f>
        <v>96989.005944176839</v>
      </c>
      <c r="E63" s="207">
        <f>VLOOKUP(B63,'WF Need'!B64:F121,5,FALSE)</f>
        <v>59</v>
      </c>
      <c r="F63" s="210" t="str">
        <f t="shared" si="0"/>
        <v/>
      </c>
      <c r="G63" s="210" t="str">
        <f t="shared" si="1"/>
        <v/>
      </c>
      <c r="H63" s="215">
        <f t="shared" si="2"/>
        <v>96989.005944176839</v>
      </c>
      <c r="K63" s="198" t="str">
        <f>IF(F63="Yes",D63,"")</f>
        <v/>
      </c>
    </row>
    <row r="64" spans="1:11" x14ac:dyDescent="0.25">
      <c r="C64" s="199"/>
      <c r="D64" s="251"/>
      <c r="E64" s="111"/>
      <c r="K64" s="201">
        <f>MEDIAN(K6:K63)</f>
        <v>62235.424545428643</v>
      </c>
    </row>
    <row r="65" spans="1:12" x14ac:dyDescent="0.25">
      <c r="B65" s="204" t="s">
        <v>235</v>
      </c>
      <c r="C65" s="227"/>
      <c r="E65" s="200"/>
      <c r="K65" s="201"/>
    </row>
    <row r="66" spans="1:12" ht="19.350000000000001" customHeight="1" x14ac:dyDescent="0.25">
      <c r="A66" s="202"/>
      <c r="C66" s="199"/>
      <c r="D66" s="218" t="s">
        <v>77</v>
      </c>
      <c r="G66" s="213" t="s">
        <v>77</v>
      </c>
      <c r="H66" s="219">
        <f>K64</f>
        <v>62235.424545428643</v>
      </c>
    </row>
    <row r="67" spans="1:12" x14ac:dyDescent="0.25">
      <c r="B67" s="203"/>
      <c r="C67" s="106"/>
      <c r="D67" s="145">
        <f>K64</f>
        <v>62235.424545428643</v>
      </c>
      <c r="L67" s="261"/>
    </row>
  </sheetData>
  <sortState xmlns:xlrd2="http://schemas.microsoft.com/office/spreadsheetml/2017/richdata2"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CD0-69EA-400D-83FE-539BC9680C01}">
  <sheetPr codeName="Sheet2">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I7" sqref="I7"/>
    </sheetView>
  </sheetViews>
  <sheetFormatPr defaultColWidth="9.42578125" defaultRowHeight="15" x14ac:dyDescent="0.25"/>
  <cols>
    <col min="1" max="1" width="16.42578125" style="53" customWidth="1"/>
    <col min="2" max="3" width="15.5703125" style="53" bestFit="1" customWidth="1"/>
    <col min="4" max="4" width="16.42578125" style="53" customWidth="1"/>
    <col min="5" max="5" width="16.42578125" style="53" bestFit="1" customWidth="1"/>
    <col min="6" max="6" width="15.42578125" style="53" customWidth="1"/>
    <col min="7" max="7" width="19.42578125" style="53" customWidth="1"/>
    <col min="8" max="16384" width="9.42578125" style="53"/>
  </cols>
  <sheetData>
    <row r="1" spans="1:7" ht="18.75" x14ac:dyDescent="0.25">
      <c r="A1" s="153" t="s">
        <v>127</v>
      </c>
    </row>
    <row r="2" spans="1:7" x14ac:dyDescent="0.25">
      <c r="A2" s="49" t="s">
        <v>245</v>
      </c>
    </row>
    <row r="4" spans="1:7" x14ac:dyDescent="0.25">
      <c r="B4" s="294" t="s">
        <v>240</v>
      </c>
      <c r="C4" s="295"/>
    </row>
    <row r="5" spans="1:7" ht="60" x14ac:dyDescent="0.25">
      <c r="A5" s="296" t="s">
        <v>63</v>
      </c>
      <c r="B5" s="191" t="s">
        <v>186</v>
      </c>
      <c r="C5" s="191" t="s">
        <v>185</v>
      </c>
      <c r="D5" s="42" t="s">
        <v>199</v>
      </c>
      <c r="E5" s="192" t="s">
        <v>200</v>
      </c>
      <c r="F5" s="42" t="s">
        <v>201</v>
      </c>
      <c r="G5" s="42" t="s">
        <v>202</v>
      </c>
    </row>
    <row r="6" spans="1:7" x14ac:dyDescent="0.25">
      <c r="A6" s="297"/>
      <c r="B6" s="78" t="s">
        <v>65</v>
      </c>
      <c r="C6" s="78" t="s">
        <v>1</v>
      </c>
      <c r="D6" s="78" t="s">
        <v>66</v>
      </c>
      <c r="E6" s="78" t="s">
        <v>2</v>
      </c>
      <c r="F6" s="78" t="s">
        <v>3</v>
      </c>
      <c r="G6" s="78" t="s">
        <v>83</v>
      </c>
    </row>
    <row r="7" spans="1:7" x14ac:dyDescent="0.25">
      <c r="A7" s="146" t="s">
        <v>53</v>
      </c>
      <c r="B7" s="147">
        <f>_xlfn.XLOOKUP(A7,'[11]Program 10'!$A$7:$A$64,'[11]Program 10'!$B$7:$B$64,,0)</f>
        <v>502.94999999999987</v>
      </c>
      <c r="C7" s="147">
        <f>_xlfn.XLOOKUP(A7,'[11]Program 10'!$A$7:$A$64,'[11]Program 10'!$C$7:$C$64,,0)</f>
        <v>47415515.042600028</v>
      </c>
      <c r="D7" s="147">
        <f>_xlfn.XLOOKUP(A7,'[11]Program 10'!$A$7:$A$64,'[11]Program 10'!$D$7:$D$64,,0)</f>
        <v>15032549.996168315</v>
      </c>
      <c r="E7" s="147">
        <f>_xlfn.XLOOKUP(A7,'[11]Program 10'!$A$7:$A$64,'[11]Program 10'!$E$7:$E$64,,0)</f>
        <v>10626906.200000001</v>
      </c>
      <c r="F7" s="148">
        <f>D7/C7</f>
        <v>0.31703863139865635</v>
      </c>
      <c r="G7" s="149">
        <f>E7/B7</f>
        <v>21129.150412565868</v>
      </c>
    </row>
    <row r="8" spans="1:7" x14ac:dyDescent="0.25">
      <c r="A8" s="146" t="s">
        <v>4</v>
      </c>
      <c r="B8" s="147">
        <f>_xlfn.XLOOKUP(A8,'[11]Program 10'!$A$7:$A$64,'[11]Program 10'!$B$7:$B$64,,0)</f>
        <v>2.5499999999999998</v>
      </c>
      <c r="C8" s="147">
        <f>_xlfn.XLOOKUP(A8,'[11]Program 10'!$A$7:$A$64,'[11]Program 10'!$C$7:$C$64,,0)</f>
        <v>171286.38149999999</v>
      </c>
      <c r="D8" s="147">
        <f>_xlfn.XLOOKUP(A8,'[11]Program 10'!$A$7:$A$64,'[11]Program 10'!$D$7:$D$64,,0)</f>
        <v>84060.504584940005</v>
      </c>
      <c r="E8" s="147">
        <f>_xlfn.XLOOKUP(A8,'[11]Program 10'!$A$7:$A$64,'[11]Program 10'!$E$7:$E$64,,0)</f>
        <v>79838.9565</v>
      </c>
      <c r="F8" s="148">
        <f t="shared" ref="F8:F65" si="0">D8/C8</f>
        <v>0.49076000000000009</v>
      </c>
      <c r="G8" s="149">
        <f t="shared" ref="G8:G64" si="1">E8/B8</f>
        <v>31309.394705882354</v>
      </c>
    </row>
    <row r="9" spans="1:7" x14ac:dyDescent="0.25">
      <c r="A9" s="146" t="s">
        <v>5</v>
      </c>
      <c r="B9" s="147">
        <f>_xlfn.XLOOKUP(A9,'[11]Program 10'!$A$7:$A$64,'[11]Program 10'!$B$7:$B$64,,0)</f>
        <v>21.05</v>
      </c>
      <c r="C9" s="147">
        <f>_xlfn.XLOOKUP(A9,'[11]Program 10'!$A$7:$A$64,'[11]Program 10'!$C$7:$C$64,,0)</f>
        <v>1507921.9599999995</v>
      </c>
      <c r="D9" s="147">
        <f>_xlfn.XLOOKUP(A9,'[11]Program 10'!$A$7:$A$64,'[11]Program 10'!$D$7:$D$64,,0)</f>
        <v>626993.95096799987</v>
      </c>
      <c r="E9" s="147">
        <f>_xlfn.XLOOKUP(A9,'[11]Program 10'!$A$7:$A$64,'[11]Program 10'!$E$7:$E$64,,0)</f>
        <v>240048.65400000007</v>
      </c>
      <c r="F9" s="148">
        <f t="shared" si="0"/>
        <v>0.41580000000000006</v>
      </c>
      <c r="G9" s="149">
        <f t="shared" si="1"/>
        <v>11403.73653206651</v>
      </c>
    </row>
    <row r="10" spans="1:7" x14ac:dyDescent="0.25">
      <c r="A10" s="146" t="s">
        <v>19</v>
      </c>
      <c r="B10" s="147">
        <f>_xlfn.XLOOKUP(A10,'[11]Program 10'!$A$7:$A$64,'[11]Program 10'!$B$7:$B$64,,0)</f>
        <v>83.157599999999945</v>
      </c>
      <c r="C10" s="147">
        <f>_xlfn.XLOOKUP(A10,'[11]Program 10'!$A$7:$A$64,'[11]Program 10'!$C$7:$C$64,,0)</f>
        <v>5292563.456753999</v>
      </c>
      <c r="D10" s="147">
        <f>_xlfn.XLOOKUP(A10,'[11]Program 10'!$A$7:$A$64,'[11]Program 10'!$D$7:$D$64,,0)</f>
        <v>1816165.5275448991</v>
      </c>
      <c r="E10" s="147">
        <f>_xlfn.XLOOKUP(A10,'[11]Program 10'!$A$7:$A$64,'[11]Program 10'!$E$7:$E$64,,0)</f>
        <v>1217892.1032000005</v>
      </c>
      <c r="F10" s="148">
        <f t="shared" si="0"/>
        <v>0.34315422807585533</v>
      </c>
      <c r="G10" s="149">
        <f t="shared" si="1"/>
        <v>14645.589858293184</v>
      </c>
    </row>
    <row r="11" spans="1:7" x14ac:dyDescent="0.25">
      <c r="A11" s="146" t="s">
        <v>6</v>
      </c>
      <c r="B11" s="147">
        <f>_xlfn.XLOOKUP(A11,'[11]Program 10'!$A$7:$A$64,'[11]Program 10'!$B$7:$B$64,,0)</f>
        <v>17.649999999999999</v>
      </c>
      <c r="C11" s="147">
        <f>_xlfn.XLOOKUP(A11,'[11]Program 10'!$A$7:$A$64,'[11]Program 10'!$C$7:$C$64,,0)</f>
        <v>1305370.1434799999</v>
      </c>
      <c r="D11" s="147">
        <f>_xlfn.XLOOKUP(A11,'[11]Program 10'!$A$7:$A$64,'[11]Program 10'!$D$7:$D$64,,0)</f>
        <v>298281.65168890404</v>
      </c>
      <c r="E11" s="147">
        <f>_xlfn.XLOOKUP(A11,'[11]Program 10'!$A$7:$A$64,'[11]Program 10'!$E$7:$E$64,,0)</f>
        <v>263826.37950000004</v>
      </c>
      <c r="F11" s="148">
        <f t="shared" si="0"/>
        <v>0.22850350391323634</v>
      </c>
      <c r="G11" s="149">
        <f t="shared" si="1"/>
        <v>14947.670226628899</v>
      </c>
    </row>
    <row r="12" spans="1:7" x14ac:dyDescent="0.25">
      <c r="A12" s="146" t="s">
        <v>7</v>
      </c>
      <c r="B12" s="147">
        <f>_xlfn.XLOOKUP(A12,'[11]Program 10'!$A$7:$A$64,'[11]Program 10'!$B$7:$B$64,,0)</f>
        <v>9.6499999999999915</v>
      </c>
      <c r="C12" s="147">
        <f>_xlfn.XLOOKUP(A12,'[11]Program 10'!$A$7:$A$64,'[11]Program 10'!$C$7:$C$64,,0)</f>
        <v>516534.4499999999</v>
      </c>
      <c r="D12" s="147">
        <f>_xlfn.XLOOKUP(A12,'[11]Program 10'!$A$7:$A$64,'[11]Program 10'!$D$7:$D$64,,0)</f>
        <v>261624.698925</v>
      </c>
      <c r="E12" s="147">
        <f>_xlfn.XLOOKUP(A12,'[11]Program 10'!$A$7:$A$64,'[11]Program 10'!$E$7:$E$64,,0)</f>
        <v>240151.24999999985</v>
      </c>
      <c r="F12" s="148">
        <f t="shared" si="0"/>
        <v>0.50650000000000006</v>
      </c>
      <c r="G12" s="149">
        <f t="shared" si="1"/>
        <v>24886.139896373064</v>
      </c>
    </row>
    <row r="13" spans="1:7" x14ac:dyDescent="0.25">
      <c r="A13" s="146" t="s">
        <v>41</v>
      </c>
      <c r="B13" s="147">
        <f>_xlfn.XLOOKUP(A13,'[11]Program 10'!$A$7:$A$64,'[11]Program 10'!$B$7:$B$64,,0)</f>
        <v>247</v>
      </c>
      <c r="C13" s="147">
        <f>_xlfn.XLOOKUP(A13,'[11]Program 10'!$A$7:$A$64,'[11]Program 10'!$C$7:$C$64,,0)</f>
        <v>21346681.517999999</v>
      </c>
      <c r="D13" s="147">
        <f>_xlfn.XLOOKUP(A13,'[11]Program 10'!$A$7:$A$64,'[11]Program 10'!$D$7:$D$64,,0)</f>
        <v>6471371.0370100085</v>
      </c>
      <c r="E13" s="147">
        <f>_xlfn.XLOOKUP(A13,'[11]Program 10'!$A$7:$A$64,'[11]Program 10'!$E$7:$E$64,,0)</f>
        <v>6669778.2170000169</v>
      </c>
      <c r="F13" s="148">
        <f t="shared" si="0"/>
        <v>0.30315583391981576</v>
      </c>
      <c r="G13" s="149">
        <f t="shared" si="1"/>
        <v>27003.15067611343</v>
      </c>
    </row>
    <row r="14" spans="1:7" x14ac:dyDescent="0.25">
      <c r="A14" s="146" t="s">
        <v>8</v>
      </c>
      <c r="B14" s="147">
        <f>_xlfn.XLOOKUP(A14,'[11]Program 10'!$A$7:$A$64,'[11]Program 10'!$B$7:$B$64,,0)</f>
        <v>20</v>
      </c>
      <c r="C14" s="147">
        <f>_xlfn.XLOOKUP(A14,'[11]Program 10'!$A$7:$A$64,'[11]Program 10'!$C$7:$C$64,,0)</f>
        <v>1265847.4624236627</v>
      </c>
      <c r="D14" s="147">
        <f>_xlfn.XLOOKUP(A14,'[11]Program 10'!$A$7:$A$64,'[11]Program 10'!$D$7:$D$64,,0)</f>
        <v>405736.95818313077</v>
      </c>
      <c r="E14" s="147">
        <f>_xlfn.XLOOKUP(A14,'[11]Program 10'!$A$7:$A$64,'[11]Program 10'!$E$7:$E$64,,0)</f>
        <v>548264.44000000006</v>
      </c>
      <c r="F14" s="148">
        <f t="shared" si="0"/>
        <v>0.3205259482104455</v>
      </c>
      <c r="G14" s="149">
        <f t="shared" si="1"/>
        <v>27413.222000000002</v>
      </c>
    </row>
    <row r="15" spans="1:7" x14ac:dyDescent="0.25">
      <c r="A15" s="146" t="s">
        <v>20</v>
      </c>
      <c r="B15" s="147">
        <f>_xlfn.XLOOKUP(A15,'[11]Program 10'!$A$7:$A$64,'[11]Program 10'!$B$7:$B$64,,0)</f>
        <v>55.9</v>
      </c>
      <c r="C15" s="147">
        <f>_xlfn.XLOOKUP(A15,'[11]Program 10'!$A$7:$A$64,'[11]Program 10'!$C$7:$C$64,,0)</f>
        <v>4044027.5200000009</v>
      </c>
      <c r="D15" s="147">
        <f>_xlfn.XLOOKUP(A15,'[11]Program 10'!$A$7:$A$64,'[11]Program 10'!$D$7:$D$64,,0)</f>
        <v>1399566.1238207996</v>
      </c>
      <c r="E15" s="147">
        <f>_xlfn.XLOOKUP(A15,'[11]Program 10'!$A$7:$A$64,'[11]Program 10'!$E$7:$E$64,,0)</f>
        <v>1515565.6250000014</v>
      </c>
      <c r="F15" s="148">
        <f t="shared" si="0"/>
        <v>0.34608224521202052</v>
      </c>
      <c r="G15" s="149">
        <f t="shared" si="1"/>
        <v>27112.086314847969</v>
      </c>
    </row>
    <row r="16" spans="1:7" x14ac:dyDescent="0.25">
      <c r="A16" s="146" t="s">
        <v>42</v>
      </c>
      <c r="B16" s="147">
        <f>_xlfn.XLOOKUP(A16,'[11]Program 10'!$A$7:$A$64,'[11]Program 10'!$B$7:$B$64,,0)</f>
        <v>412.02499999999998</v>
      </c>
      <c r="C16" s="147">
        <f>_xlfn.XLOOKUP(A16,'[11]Program 10'!$A$7:$A$64,'[11]Program 10'!$C$7:$C$64,,0)</f>
        <v>29158261.853000015</v>
      </c>
      <c r="D16" s="147">
        <f>_xlfn.XLOOKUP(A16,'[11]Program 10'!$A$7:$A$64,'[11]Program 10'!$D$7:$D$64,,0)</f>
        <v>17018635.002817534</v>
      </c>
      <c r="E16" s="147">
        <f>_xlfn.XLOOKUP(A16,'[11]Program 10'!$A$7:$A$64,'[11]Program 10'!$E$7:$E$64,,0)</f>
        <v>7067573.7475732891</v>
      </c>
      <c r="F16" s="148">
        <f t="shared" si="0"/>
        <v>0.58366424887108048</v>
      </c>
      <c r="G16" s="149">
        <f t="shared" si="1"/>
        <v>17153.264359136676</v>
      </c>
    </row>
    <row r="17" spans="1:7" x14ac:dyDescent="0.25">
      <c r="A17" s="146" t="s">
        <v>9</v>
      </c>
      <c r="B17" s="147">
        <f>_xlfn.XLOOKUP(A17,'[11]Program 10'!$A$7:$A$64,'[11]Program 10'!$B$7:$B$64,,0)</f>
        <v>12.55</v>
      </c>
      <c r="C17" s="147">
        <f>_xlfn.XLOOKUP(A17,'[11]Program 10'!$A$7:$A$64,'[11]Program 10'!$C$7:$C$64,,0)</f>
        <v>748191.83699999994</v>
      </c>
      <c r="D17" s="147">
        <f>_xlfn.XLOOKUP(A17,'[11]Program 10'!$A$7:$A$64,'[11]Program 10'!$D$7:$D$64,,0)</f>
        <v>131457.3057609</v>
      </c>
      <c r="E17" s="147">
        <f>_xlfn.XLOOKUP(A17,'[11]Program 10'!$A$7:$A$64,'[11]Program 10'!$E$7:$E$64,,0)</f>
        <v>519233.174</v>
      </c>
      <c r="F17" s="148">
        <f t="shared" si="0"/>
        <v>0.1757</v>
      </c>
      <c r="G17" s="149">
        <f t="shared" si="1"/>
        <v>41373.161274900398</v>
      </c>
    </row>
    <row r="18" spans="1:7" x14ac:dyDescent="0.25">
      <c r="A18" s="146" t="s">
        <v>21</v>
      </c>
      <c r="B18" s="147">
        <f>_xlfn.XLOOKUP(A18,'[11]Program 10'!$A$7:$A$64,'[11]Program 10'!$B$7:$B$64,,0)</f>
        <v>56.2</v>
      </c>
      <c r="C18" s="147">
        <f>_xlfn.XLOOKUP(A18,'[11]Program 10'!$A$7:$A$64,'[11]Program 10'!$C$7:$C$64,,0)</f>
        <v>3786517.9793299995</v>
      </c>
      <c r="D18" s="147">
        <f>_xlfn.XLOOKUP(A18,'[11]Program 10'!$A$7:$A$64,'[11]Program 10'!$D$7:$D$64,,0)</f>
        <v>1586730.4632646146</v>
      </c>
      <c r="E18" s="147">
        <f>_xlfn.XLOOKUP(A18,'[11]Program 10'!$A$7:$A$64,'[11]Program 10'!$E$7:$E$64,,0)</f>
        <v>1148828.1800000009</v>
      </c>
      <c r="F18" s="148">
        <f t="shared" si="0"/>
        <v>0.41904738652406359</v>
      </c>
      <c r="G18" s="149">
        <f t="shared" si="1"/>
        <v>20441.782562277593</v>
      </c>
    </row>
    <row r="19" spans="1:7" x14ac:dyDescent="0.25">
      <c r="A19" s="146" t="s">
        <v>22</v>
      </c>
      <c r="B19" s="147">
        <f>_xlfn.XLOOKUP(A19,'[11]Program 10'!$A$7:$A$64,'[11]Program 10'!$B$7:$B$64,,0)</f>
        <v>71.399999999999991</v>
      </c>
      <c r="C19" s="147">
        <f>_xlfn.XLOOKUP(A19,'[11]Program 10'!$A$7:$A$64,'[11]Program 10'!$C$7:$C$64,,0)</f>
        <v>3815221.1744278916</v>
      </c>
      <c r="D19" s="147">
        <f>_xlfn.XLOOKUP(A19,'[11]Program 10'!$A$7:$A$64,'[11]Program 10'!$D$7:$D$64,,0)</f>
        <v>891050.9188849146</v>
      </c>
      <c r="E19" s="147">
        <f>_xlfn.XLOOKUP(A19,'[11]Program 10'!$A$7:$A$64,'[11]Program 10'!$E$7:$E$64,,0)</f>
        <v>460511.11999999959</v>
      </c>
      <c r="F19" s="148">
        <f t="shared" si="0"/>
        <v>0.23355157621196926</v>
      </c>
      <c r="G19" s="149">
        <f t="shared" si="1"/>
        <v>6449.7355742296868</v>
      </c>
    </row>
    <row r="20" spans="1:7" x14ac:dyDescent="0.25">
      <c r="A20" s="146" t="s">
        <v>10</v>
      </c>
      <c r="B20" s="147">
        <f>_xlfn.XLOOKUP(A20,'[11]Program 10'!$A$7:$A$64,'[11]Program 10'!$B$7:$B$64,,0)</f>
        <v>9.889999999999997</v>
      </c>
      <c r="C20" s="147">
        <f>_xlfn.XLOOKUP(A20,'[11]Program 10'!$A$7:$A$64,'[11]Program 10'!$C$7:$C$64,,0)</f>
        <v>788475.60000000009</v>
      </c>
      <c r="D20" s="147">
        <f>_xlfn.XLOOKUP(A20,'[11]Program 10'!$A$7:$A$64,'[11]Program 10'!$D$7:$D$64,,0)</f>
        <v>157300.88219999996</v>
      </c>
      <c r="E20" s="147">
        <f>_xlfn.XLOOKUP(A20,'[11]Program 10'!$A$7:$A$64,'[11]Program 10'!$E$7:$E$64,,0)</f>
        <v>154576.69000000003</v>
      </c>
      <c r="F20" s="148">
        <f t="shared" si="0"/>
        <v>0.19949999999999993</v>
      </c>
      <c r="G20" s="149">
        <f t="shared" si="1"/>
        <v>15629.59453993934</v>
      </c>
    </row>
    <row r="21" spans="1:7" x14ac:dyDescent="0.25">
      <c r="A21" s="146" t="s">
        <v>43</v>
      </c>
      <c r="B21" s="147">
        <f>_xlfn.XLOOKUP(A21,'[11]Program 10'!$A$7:$A$64,'[11]Program 10'!$B$7:$B$64,,0)</f>
        <v>392.5</v>
      </c>
      <c r="C21" s="147">
        <f>_xlfn.XLOOKUP(A21,'[11]Program 10'!$A$7:$A$64,'[11]Program 10'!$C$7:$C$64,,0)</f>
        <v>29282559.121740818</v>
      </c>
      <c r="D21" s="147">
        <f>_xlfn.XLOOKUP(A21,'[11]Program 10'!$A$7:$A$64,'[11]Program 10'!$D$7:$D$64,,0)</f>
        <v>14455336.550125264</v>
      </c>
      <c r="E21" s="147">
        <f>_xlfn.XLOOKUP(A21,'[11]Program 10'!$A$7:$A$64,'[11]Program 10'!$E$7:$E$64,,0)</f>
        <v>7895179.7313928632</v>
      </c>
      <c r="F21" s="148">
        <f t="shared" si="0"/>
        <v>0.49365004233502624</v>
      </c>
      <c r="G21" s="149">
        <f t="shared" si="1"/>
        <v>20115.107595905385</v>
      </c>
    </row>
    <row r="22" spans="1:7" x14ac:dyDescent="0.25">
      <c r="A22" s="146" t="s">
        <v>23</v>
      </c>
      <c r="B22" s="147">
        <f>_xlfn.XLOOKUP(A22,'[11]Program 10'!$A$7:$A$64,'[11]Program 10'!$B$7:$B$64,,0)</f>
        <v>74</v>
      </c>
      <c r="C22" s="147">
        <f>_xlfn.XLOOKUP(A22,'[11]Program 10'!$A$7:$A$64,'[11]Program 10'!$C$7:$C$64,,0)</f>
        <v>5122876.429999996</v>
      </c>
      <c r="D22" s="147">
        <f>_xlfn.XLOOKUP(A22,'[11]Program 10'!$A$7:$A$64,'[11]Program 10'!$D$7:$D$64,,0)</f>
        <v>846697.56039100012</v>
      </c>
      <c r="E22" s="147">
        <f>_xlfn.XLOOKUP(A22,'[11]Program 10'!$A$7:$A$64,'[11]Program 10'!$E$7:$E$64,,0)</f>
        <v>1377277.8299999996</v>
      </c>
      <c r="F22" s="148">
        <f t="shared" si="0"/>
        <v>0.16527776376425321</v>
      </c>
      <c r="G22" s="149">
        <f t="shared" si="1"/>
        <v>18611.862567567561</v>
      </c>
    </row>
    <row r="23" spans="1:7" x14ac:dyDescent="0.25">
      <c r="A23" s="146" t="s">
        <v>24</v>
      </c>
      <c r="B23" s="147">
        <f>_xlfn.XLOOKUP(A23,'[11]Program 10'!$A$7:$A$64,'[11]Program 10'!$B$7:$B$64,,0)</f>
        <v>27.1</v>
      </c>
      <c r="C23" s="147">
        <f>_xlfn.XLOOKUP(A23,'[11]Program 10'!$A$7:$A$64,'[11]Program 10'!$C$7:$C$64,,0)</f>
        <v>1836676.4369999999</v>
      </c>
      <c r="D23" s="147">
        <f>_xlfn.XLOOKUP(A23,'[11]Program 10'!$A$7:$A$64,'[11]Program 10'!$D$7:$D$64,,0)</f>
        <v>594366.86177756998</v>
      </c>
      <c r="E23" s="147">
        <f>_xlfn.XLOOKUP(A23,'[11]Program 10'!$A$7:$A$64,'[11]Program 10'!$E$7:$E$64,,0)</f>
        <v>373569.70599999977</v>
      </c>
      <c r="F23" s="148">
        <f t="shared" si="0"/>
        <v>0.32361000000000001</v>
      </c>
      <c r="G23" s="149">
        <f t="shared" si="1"/>
        <v>13784.859999999991</v>
      </c>
    </row>
    <row r="24" spans="1:7" x14ac:dyDescent="0.25">
      <c r="A24" s="146" t="s">
        <v>11</v>
      </c>
      <c r="B24" s="147">
        <f>_xlfn.XLOOKUP(A24,'[11]Program 10'!$A$7:$A$64,'[11]Program 10'!$B$7:$B$64,,0)</f>
        <v>16.5</v>
      </c>
      <c r="C24" s="147">
        <f>_xlfn.XLOOKUP(A24,'[11]Program 10'!$A$7:$A$64,'[11]Program 10'!$C$7:$C$64,,0)</f>
        <v>1194426.9499999995</v>
      </c>
      <c r="D24" s="147">
        <f>_xlfn.XLOOKUP(A24,'[11]Program 10'!$A$7:$A$64,'[11]Program 10'!$D$7:$D$64,,0)</f>
        <v>211842.79678000003</v>
      </c>
      <c r="E24" s="147">
        <f>_xlfn.XLOOKUP(A24,'[11]Program 10'!$A$7:$A$64,'[11]Program 10'!$E$7:$E$64,,0)</f>
        <v>225138.42999999996</v>
      </c>
      <c r="F24" s="148">
        <f t="shared" si="0"/>
        <v>0.17735935779078002</v>
      </c>
      <c r="G24" s="149">
        <f t="shared" si="1"/>
        <v>13644.75333333333</v>
      </c>
    </row>
    <row r="25" spans="1:7" x14ac:dyDescent="0.25">
      <c r="A25" s="146" t="s">
        <v>54</v>
      </c>
      <c r="B25" s="147">
        <f>_xlfn.XLOOKUP(A25,'[11]Program 10'!$A$7:$A$64,'[11]Program 10'!$B$7:$B$64,,0)</f>
        <v>3454</v>
      </c>
      <c r="C25" s="147">
        <f>_xlfn.XLOOKUP(A25,'[11]Program 10'!$A$7:$A$64,'[11]Program 10'!$C$7:$C$64,,0)</f>
        <v>292720265.53655463</v>
      </c>
      <c r="D25" s="147">
        <f>_xlfn.XLOOKUP(A25,'[11]Program 10'!$A$7:$A$64,'[11]Program 10'!$D$7:$D$64,,0)</f>
        <v>94875801.727356762</v>
      </c>
      <c r="E25" s="147">
        <f>_xlfn.XLOOKUP(A25,'[11]Program 10'!$A$7:$A$64,'[11]Program 10'!$E$7:$E$64,,0)</f>
        <v>100112500.96342582</v>
      </c>
      <c r="F25" s="148">
        <f t="shared" si="0"/>
        <v>0.32411764027833856</v>
      </c>
      <c r="G25" s="149">
        <f t="shared" si="1"/>
        <v>28984.510991148181</v>
      </c>
    </row>
    <row r="26" spans="1:7" x14ac:dyDescent="0.25">
      <c r="A26" s="146" t="s">
        <v>25</v>
      </c>
      <c r="B26" s="147">
        <f>_xlfn.XLOOKUP(A26,'[11]Program 10'!$A$7:$A$64,'[11]Program 10'!$B$7:$B$64,,0)</f>
        <v>77.36</v>
      </c>
      <c r="C26" s="147">
        <f>_xlfn.XLOOKUP(A26,'[11]Program 10'!$A$7:$A$64,'[11]Program 10'!$C$7:$C$64,,0)</f>
        <v>5410058.870000001</v>
      </c>
      <c r="D26" s="147">
        <f>_xlfn.XLOOKUP(A26,'[11]Program 10'!$A$7:$A$64,'[11]Program 10'!$D$7:$D$64,,0)</f>
        <v>2319682.8160428996</v>
      </c>
      <c r="E26" s="147">
        <f>_xlfn.XLOOKUP(A26,'[11]Program 10'!$A$7:$A$64,'[11]Program 10'!$E$7:$E$64,,0)</f>
        <v>906813.92000000016</v>
      </c>
      <c r="F26" s="148">
        <f t="shared" si="0"/>
        <v>0.42877219486576479</v>
      </c>
      <c r="G26" s="149">
        <f t="shared" si="1"/>
        <v>11722.000000000002</v>
      </c>
    </row>
    <row r="27" spans="1:7" x14ac:dyDescent="0.25">
      <c r="A27" s="146" t="s">
        <v>26</v>
      </c>
      <c r="B27" s="147">
        <f>_xlfn.XLOOKUP(A27,'[11]Program 10'!$A$7:$A$64,'[11]Program 10'!$B$7:$B$64,,0)</f>
        <v>73.111538461538458</v>
      </c>
      <c r="C27" s="147">
        <f>_xlfn.XLOOKUP(A27,'[11]Program 10'!$A$7:$A$64,'[11]Program 10'!$C$7:$C$64,,0)</f>
        <v>6854643.5484875049</v>
      </c>
      <c r="D27" s="147">
        <f>_xlfn.XLOOKUP(A27,'[11]Program 10'!$A$7:$A$64,'[11]Program 10'!$D$7:$D$64,,0)</f>
        <v>1462279.3255375824</v>
      </c>
      <c r="E27" s="147">
        <f>_xlfn.XLOOKUP(A27,'[11]Program 10'!$A$7:$A$64,'[11]Program 10'!$E$7:$E$64,,0)</f>
        <v>1700446.439423077</v>
      </c>
      <c r="F27" s="148">
        <f t="shared" si="0"/>
        <v>0.21332682220364882</v>
      </c>
      <c r="G27" s="149">
        <f t="shared" si="1"/>
        <v>23258.250000000004</v>
      </c>
    </row>
    <row r="28" spans="1:7" x14ac:dyDescent="0.25">
      <c r="A28" s="146" t="s">
        <v>12</v>
      </c>
      <c r="B28" s="147">
        <f>_xlfn.XLOOKUP(A28,'[11]Program 10'!$A$7:$A$64,'[11]Program 10'!$B$7:$B$64,,0)</f>
        <v>8.1999999999999993</v>
      </c>
      <c r="C28" s="147">
        <f>_xlfn.XLOOKUP(A28,'[11]Program 10'!$A$7:$A$64,'[11]Program 10'!$C$7:$C$64,,0)</f>
        <v>515043.6700000001</v>
      </c>
      <c r="D28" s="147">
        <f>_xlfn.XLOOKUP(A28,'[11]Program 10'!$A$7:$A$64,'[11]Program 10'!$D$7:$D$64,,0)</f>
        <v>165346.03209500003</v>
      </c>
      <c r="E28" s="147">
        <f>_xlfn.XLOOKUP(A28,'[11]Program 10'!$A$7:$A$64,'[11]Program 10'!$E$7:$E$64,,0)</f>
        <v>135791.97999999998</v>
      </c>
      <c r="F28" s="148">
        <f t="shared" si="0"/>
        <v>0.32103303414058076</v>
      </c>
      <c r="G28" s="149">
        <f t="shared" si="1"/>
        <v>16559.997560975607</v>
      </c>
    </row>
    <row r="29" spans="1:7" x14ac:dyDescent="0.25">
      <c r="A29" s="146" t="s">
        <v>27</v>
      </c>
      <c r="B29" s="147">
        <f>_xlfn.XLOOKUP(A29,'[11]Program 10'!$A$7:$A$64,'[11]Program 10'!$B$7:$B$64,,0)</f>
        <v>41.699999999999996</v>
      </c>
      <c r="C29" s="147">
        <f>_xlfn.XLOOKUP(A29,'[11]Program 10'!$A$7:$A$64,'[11]Program 10'!$C$7:$C$64,,0)</f>
        <v>3246389</v>
      </c>
      <c r="D29" s="147">
        <f>_xlfn.XLOOKUP(A29,'[11]Program 10'!$A$7:$A$64,'[11]Program 10'!$D$7:$D$64,,0)</f>
        <v>1525558.7032799998</v>
      </c>
      <c r="E29" s="147">
        <f>_xlfn.XLOOKUP(A29,'[11]Program 10'!$A$7:$A$64,'[11]Program 10'!$E$7:$E$64,,0)</f>
        <v>785256.27500000002</v>
      </c>
      <c r="F29" s="148">
        <f t="shared" si="0"/>
        <v>0.46992480053376223</v>
      </c>
      <c r="G29" s="149">
        <f t="shared" si="1"/>
        <v>18831.085731414871</v>
      </c>
    </row>
    <row r="30" spans="1:7" x14ac:dyDescent="0.25">
      <c r="A30" s="146" t="s">
        <v>28</v>
      </c>
      <c r="B30" s="147">
        <f>_xlfn.XLOOKUP(A30,'[11]Program 10'!$A$7:$A$64,'[11]Program 10'!$B$7:$B$64,,0)</f>
        <v>103.5</v>
      </c>
      <c r="C30" s="147">
        <f>_xlfn.XLOOKUP(A30,'[11]Program 10'!$A$7:$A$64,'[11]Program 10'!$C$7:$C$64,,0)</f>
        <v>6997066.3776000021</v>
      </c>
      <c r="D30" s="147">
        <f>_xlfn.XLOOKUP(A30,'[11]Program 10'!$A$7:$A$64,'[11]Program 10'!$D$7:$D$64,,0)</f>
        <v>3429771.3764830404</v>
      </c>
      <c r="E30" s="147">
        <f>_xlfn.XLOOKUP(A30,'[11]Program 10'!$A$7:$A$64,'[11]Program 10'!$E$7:$E$64,,0)</f>
        <v>1863972.0856499961</v>
      </c>
      <c r="F30" s="148">
        <f t="shared" si="0"/>
        <v>0.49017276546967015</v>
      </c>
      <c r="G30" s="149">
        <f t="shared" si="1"/>
        <v>18009.392131884018</v>
      </c>
    </row>
    <row r="31" spans="1:7" x14ac:dyDescent="0.25">
      <c r="A31" s="146" t="s">
        <v>13</v>
      </c>
      <c r="B31" s="147">
        <f>_xlfn.XLOOKUP(A31,'[11]Program 10'!$A$7:$A$64,'[11]Program 10'!$B$7:$B$64,,0)</f>
        <v>7.2</v>
      </c>
      <c r="C31" s="147">
        <f>_xlfn.XLOOKUP(A31,'[11]Program 10'!$A$7:$A$64,'[11]Program 10'!$C$7:$C$64,,0)</f>
        <v>463544.53399999999</v>
      </c>
      <c r="D31" s="147">
        <f>_xlfn.XLOOKUP(A31,'[11]Program 10'!$A$7:$A$64,'[11]Program 10'!$D$7:$D$64,,0)</f>
        <v>186385.94108100003</v>
      </c>
      <c r="E31" s="147">
        <f>_xlfn.XLOOKUP(A31,'[11]Program 10'!$A$7:$A$64,'[11]Program 10'!$E$7:$E$64,,0)</f>
        <v>132961.758</v>
      </c>
      <c r="F31" s="148">
        <f t="shared" si="0"/>
        <v>0.40208853175906512</v>
      </c>
      <c r="G31" s="149">
        <f t="shared" si="1"/>
        <v>18466.910833333332</v>
      </c>
    </row>
    <row r="32" spans="1:7" x14ac:dyDescent="0.25">
      <c r="A32" s="146" t="s">
        <v>14</v>
      </c>
      <c r="B32" s="147">
        <f>_xlfn.XLOOKUP(A32,'[11]Program 10'!$A$7:$A$64,'[11]Program 10'!$B$7:$B$64,,0)</f>
        <v>7.3999999999999995</v>
      </c>
      <c r="C32" s="147">
        <f>_xlfn.XLOOKUP(A32,'[11]Program 10'!$A$7:$A$64,'[11]Program 10'!$C$7:$C$64,,0)</f>
        <v>492987.55</v>
      </c>
      <c r="D32" s="147">
        <f>_xlfn.XLOOKUP(A32,'[11]Program 10'!$A$7:$A$64,'[11]Program 10'!$D$7:$D$64,,0)</f>
        <v>157944.71130200004</v>
      </c>
      <c r="E32" s="147">
        <f>_xlfn.XLOOKUP(A32,'[11]Program 10'!$A$7:$A$64,'[11]Program 10'!$E$7:$E$64,,0)</f>
        <v>156650.54999999996</v>
      </c>
      <c r="F32" s="148">
        <f t="shared" si="0"/>
        <v>0.32038275875729527</v>
      </c>
      <c r="G32" s="149">
        <f t="shared" si="1"/>
        <v>21168.99324324324</v>
      </c>
    </row>
    <row r="33" spans="1:7" x14ac:dyDescent="0.25">
      <c r="A33" s="146" t="s">
        <v>44</v>
      </c>
      <c r="B33" s="147">
        <f>_xlfn.XLOOKUP(A33,'[11]Program 10'!$A$7:$A$64,'[11]Program 10'!$B$7:$B$64,,0)</f>
        <v>138.79999999999998</v>
      </c>
      <c r="C33" s="147">
        <f>_xlfn.XLOOKUP(A33,'[11]Program 10'!$A$7:$A$64,'[11]Program 10'!$C$7:$C$64,,0)</f>
        <v>10234114.020000011</v>
      </c>
      <c r="D33" s="147">
        <f>_xlfn.XLOOKUP(A33,'[11]Program 10'!$A$7:$A$64,'[11]Program 10'!$D$7:$D$64,,0)</f>
        <v>1717556.0570179997</v>
      </c>
      <c r="E33" s="147">
        <f>_xlfn.XLOOKUP(A33,'[11]Program 10'!$A$7:$A$64,'[11]Program 10'!$E$7:$E$64,,0)</f>
        <v>3912030.1168766259</v>
      </c>
      <c r="F33" s="148">
        <f t="shared" si="0"/>
        <v>0.16782655085349518</v>
      </c>
      <c r="G33" s="149">
        <f t="shared" si="1"/>
        <v>28184.655020724975</v>
      </c>
    </row>
    <row r="34" spans="1:7" x14ac:dyDescent="0.25">
      <c r="A34" s="146" t="s">
        <v>29</v>
      </c>
      <c r="B34" s="147">
        <f>_xlfn.XLOOKUP(A34,'[11]Program 10'!$A$7:$A$64,'[11]Program 10'!$B$7:$B$64,,0)</f>
        <v>45.9</v>
      </c>
      <c r="C34" s="147">
        <f>_xlfn.XLOOKUP(A34,'[11]Program 10'!$A$7:$A$64,'[11]Program 10'!$C$7:$C$64,,0)</f>
        <v>3969021.1799999997</v>
      </c>
      <c r="D34" s="147">
        <f>_xlfn.XLOOKUP(A34,'[11]Program 10'!$A$7:$A$64,'[11]Program 10'!$D$7:$D$64,,0)</f>
        <v>1097761.3186260008</v>
      </c>
      <c r="E34" s="147">
        <f>_xlfn.XLOOKUP(A34,'[11]Program 10'!$A$7:$A$64,'[11]Program 10'!$E$7:$E$64,,0)</f>
        <v>1110646.7</v>
      </c>
      <c r="F34" s="148">
        <f t="shared" si="0"/>
        <v>0.27658237858685369</v>
      </c>
      <c r="G34" s="149">
        <f t="shared" si="1"/>
        <v>24197.095860566449</v>
      </c>
    </row>
    <row r="35" spans="1:7" x14ac:dyDescent="0.25">
      <c r="A35" s="146" t="s">
        <v>30</v>
      </c>
      <c r="B35" s="147">
        <f>_xlfn.XLOOKUP(A35,'[11]Program 10'!$A$7:$A$64,'[11]Program 10'!$B$7:$B$64,,0)</f>
        <v>38.479999999999997</v>
      </c>
      <c r="C35" s="147">
        <f>_xlfn.XLOOKUP(A35,'[11]Program 10'!$A$7:$A$64,'[11]Program 10'!$C$7:$C$64,,0)</f>
        <v>2789748.8463350823</v>
      </c>
      <c r="D35" s="147">
        <f>_xlfn.XLOOKUP(A35,'[11]Program 10'!$A$7:$A$64,'[11]Program 10'!$D$7:$D$64,,0)</f>
        <v>1406832.6928992274</v>
      </c>
      <c r="E35" s="147">
        <f>_xlfn.XLOOKUP(A35,'[11]Program 10'!$A$7:$A$64,'[11]Program 10'!$E$7:$E$64,,0)</f>
        <v>846933.21440000017</v>
      </c>
      <c r="F35" s="148">
        <f t="shared" si="0"/>
        <v>0.50428650405121445</v>
      </c>
      <c r="G35" s="149">
        <f t="shared" si="1"/>
        <v>22009.698918918926</v>
      </c>
    </row>
    <row r="36" spans="1:7" x14ac:dyDescent="0.25">
      <c r="A36" s="146" t="s">
        <v>55</v>
      </c>
      <c r="B36" s="147">
        <f>_xlfn.XLOOKUP(A36,'[11]Program 10'!$A$7:$A$64,'[11]Program 10'!$B$7:$B$64,,0)</f>
        <v>1139.5624521072793</v>
      </c>
      <c r="C36" s="147">
        <f>_xlfn.XLOOKUP(A36,'[11]Program 10'!$A$7:$A$64,'[11]Program 10'!$C$7:$C$64,,0)</f>
        <v>103683668.89635693</v>
      </c>
      <c r="D36" s="147">
        <f>_xlfn.XLOOKUP(A36,'[11]Program 10'!$A$7:$A$64,'[11]Program 10'!$D$7:$D$64,,0)</f>
        <v>40376131.701618031</v>
      </c>
      <c r="E36" s="147">
        <f>_xlfn.XLOOKUP(A36,'[11]Program 10'!$A$7:$A$64,'[11]Program 10'!$E$7:$E$64,,0)</f>
        <v>18160605.638299823</v>
      </c>
      <c r="F36" s="148">
        <f t="shared" si="0"/>
        <v>0.38941650243856973</v>
      </c>
      <c r="G36" s="149">
        <f t="shared" si="1"/>
        <v>15936.472463371554</v>
      </c>
    </row>
    <row r="37" spans="1:7" x14ac:dyDescent="0.25">
      <c r="A37" s="146" t="s">
        <v>31</v>
      </c>
      <c r="B37" s="147">
        <f>_xlfn.XLOOKUP(A37,'[11]Program 10'!$A$7:$A$64,'[11]Program 10'!$B$7:$B$64,,0)</f>
        <v>115.8</v>
      </c>
      <c r="C37" s="147">
        <f>_xlfn.XLOOKUP(A37,'[11]Program 10'!$A$7:$A$64,'[11]Program 10'!$C$7:$C$64,,0)</f>
        <v>9724406.339999998</v>
      </c>
      <c r="D37" s="147">
        <f>_xlfn.XLOOKUP(A37,'[11]Program 10'!$A$7:$A$64,'[11]Program 10'!$D$7:$D$64,,0)</f>
        <v>3593976.1070340006</v>
      </c>
      <c r="E37" s="147">
        <f>_xlfn.XLOOKUP(A37,'[11]Program 10'!$A$7:$A$64,'[11]Program 10'!$E$7:$E$64,,0)</f>
        <v>3460909.4</v>
      </c>
      <c r="F37" s="148">
        <f t="shared" si="0"/>
        <v>0.36958308624462533</v>
      </c>
      <c r="G37" s="149">
        <f t="shared" si="1"/>
        <v>29886.955094991365</v>
      </c>
    </row>
    <row r="38" spans="1:7" x14ac:dyDescent="0.25">
      <c r="A38" s="146" t="s">
        <v>15</v>
      </c>
      <c r="B38" s="147">
        <f>_xlfn.XLOOKUP(A38,'[11]Program 10'!$A$7:$A$64,'[11]Program 10'!$B$7:$B$64,,0)</f>
        <v>6.2</v>
      </c>
      <c r="C38" s="147">
        <f>_xlfn.XLOOKUP(A38,'[11]Program 10'!$A$7:$A$64,'[11]Program 10'!$C$7:$C$64,,0)</f>
        <v>474092.20000000007</v>
      </c>
      <c r="D38" s="147">
        <f>_xlfn.XLOOKUP(A38,'[11]Program 10'!$A$7:$A$64,'[11]Program 10'!$D$7:$D$64,,0)</f>
        <v>198692.04102</v>
      </c>
      <c r="E38" s="147">
        <f>_xlfn.XLOOKUP(A38,'[11]Program 10'!$A$7:$A$64,'[11]Program 10'!$E$7:$E$64,,0)</f>
        <v>141305.89999999997</v>
      </c>
      <c r="F38" s="148">
        <f t="shared" si="0"/>
        <v>0.41909999999999997</v>
      </c>
      <c r="G38" s="149">
        <f t="shared" si="1"/>
        <v>22791.274193548379</v>
      </c>
    </row>
    <row r="39" spans="1:7" x14ac:dyDescent="0.25">
      <c r="A39" s="146" t="s">
        <v>56</v>
      </c>
      <c r="B39" s="147">
        <f>_xlfn.XLOOKUP(A39,'[11]Program 10'!$A$7:$A$64,'[11]Program 10'!$B$7:$B$64,,0)</f>
        <v>831.08</v>
      </c>
      <c r="C39" s="147">
        <f>_xlfn.XLOOKUP(A39,'[11]Program 10'!$A$7:$A$64,'[11]Program 10'!$C$7:$C$64,,0)</f>
        <v>73811110.305419892</v>
      </c>
      <c r="D39" s="147">
        <f>_xlfn.XLOOKUP(A39,'[11]Program 10'!$A$7:$A$64,'[11]Program 10'!$D$7:$D$64,,0)</f>
        <v>28977199.589453723</v>
      </c>
      <c r="E39" s="147">
        <f>_xlfn.XLOOKUP(A39,'[11]Program 10'!$A$7:$A$64,'[11]Program 10'!$E$7:$E$64,,0)</f>
        <v>18284048.943600021</v>
      </c>
      <c r="F39" s="148">
        <f t="shared" si="0"/>
        <v>0.39258587859673411</v>
      </c>
      <c r="G39" s="149">
        <f t="shared" si="1"/>
        <v>22000.347672426265</v>
      </c>
    </row>
    <row r="40" spans="1:7" x14ac:dyDescent="0.25">
      <c r="A40" s="146" t="s">
        <v>57</v>
      </c>
      <c r="B40" s="147">
        <f>_xlfn.XLOOKUP(A40,'[11]Program 10'!$A$7:$A$64,'[11]Program 10'!$B$7:$B$64,,0)</f>
        <v>583.09000000000071</v>
      </c>
      <c r="C40" s="147">
        <f>_xlfn.XLOOKUP(A40,'[11]Program 10'!$A$7:$A$64,'[11]Program 10'!$C$7:$C$64,,0)</f>
        <v>52667066.678038053</v>
      </c>
      <c r="D40" s="147">
        <f>_xlfn.XLOOKUP(A40,'[11]Program 10'!$A$7:$A$64,'[11]Program 10'!$D$7:$D$64,,0)</f>
        <v>21811734.947544608</v>
      </c>
      <c r="E40" s="147">
        <f>_xlfn.XLOOKUP(A40,'[11]Program 10'!$A$7:$A$64,'[11]Program 10'!$E$7:$E$64,,0)</f>
        <v>13676001.787123393</v>
      </c>
      <c r="F40" s="148">
        <f t="shared" si="0"/>
        <v>0.41414372060785398</v>
      </c>
      <c r="G40" s="149">
        <f t="shared" si="1"/>
        <v>23454.358310249492</v>
      </c>
    </row>
    <row r="41" spans="1:7" x14ac:dyDescent="0.25">
      <c r="A41" s="146" t="s">
        <v>16</v>
      </c>
      <c r="B41" s="147">
        <f>_xlfn.XLOOKUP(A41,'[11]Program 10'!$A$7:$A$64,'[11]Program 10'!$B$7:$B$64,,0)</f>
        <v>27.3</v>
      </c>
      <c r="C41" s="147">
        <f>_xlfn.XLOOKUP(A41,'[11]Program 10'!$A$7:$A$64,'[11]Program 10'!$C$7:$C$64,,0)</f>
        <v>2236009.8820000002</v>
      </c>
      <c r="D41" s="147">
        <f>_xlfn.XLOOKUP(A41,'[11]Program 10'!$A$7:$A$64,'[11]Program 10'!$D$7:$D$64,,0)</f>
        <v>389960.12342079997</v>
      </c>
      <c r="E41" s="147">
        <f>_xlfn.XLOOKUP(A41,'[11]Program 10'!$A$7:$A$64,'[11]Program 10'!$E$7:$E$64,,0)</f>
        <v>397865.92499999999</v>
      </c>
      <c r="F41" s="148">
        <f t="shared" si="0"/>
        <v>0.17439999999999997</v>
      </c>
      <c r="G41" s="149">
        <f t="shared" si="1"/>
        <v>14573.843406593405</v>
      </c>
    </row>
    <row r="42" spans="1:7" x14ac:dyDescent="0.25">
      <c r="A42" s="146" t="s">
        <v>58</v>
      </c>
      <c r="B42" s="147">
        <f>_xlfn.XLOOKUP(A42,'[11]Program 10'!$A$7:$A$64,'[11]Program 10'!$B$7:$B$64,,0)</f>
        <v>886.49692307692305</v>
      </c>
      <c r="C42" s="147">
        <f>_xlfn.XLOOKUP(A42,'[11]Program 10'!$A$7:$A$64,'[11]Program 10'!$C$7:$C$64,,0)</f>
        <v>72254132.46369946</v>
      </c>
      <c r="D42" s="147">
        <f>_xlfn.XLOOKUP(A42,'[11]Program 10'!$A$7:$A$64,'[11]Program 10'!$D$7:$D$64,,0)</f>
        <v>21411733.685402811</v>
      </c>
      <c r="E42" s="147">
        <f>_xlfn.XLOOKUP(A42,'[11]Program 10'!$A$7:$A$64,'[11]Program 10'!$E$7:$E$64,,0)</f>
        <v>14151157.342253085</v>
      </c>
      <c r="F42" s="148">
        <f t="shared" si="0"/>
        <v>0.29633922594199141</v>
      </c>
      <c r="G42" s="149">
        <f t="shared" si="1"/>
        <v>15963.007850197762</v>
      </c>
    </row>
    <row r="43" spans="1:7" x14ac:dyDescent="0.25">
      <c r="A43" s="146" t="s">
        <v>59</v>
      </c>
      <c r="B43" s="147">
        <f>_xlfn.XLOOKUP(A43,'[11]Program 10'!$A$7:$A$64,'[11]Program 10'!$B$7:$B$64,,0)</f>
        <v>916.42000000000007</v>
      </c>
      <c r="C43" s="147">
        <f>_xlfn.XLOOKUP(A43,'[11]Program 10'!$A$7:$A$64,'[11]Program 10'!$C$7:$C$64,,0)</f>
        <v>75100698.841999874</v>
      </c>
      <c r="D43" s="147">
        <f>_xlfn.XLOOKUP(A43,'[11]Program 10'!$A$7:$A$64,'[11]Program 10'!$D$7:$D$64,,0)</f>
        <v>38441820.946810842</v>
      </c>
      <c r="E43" s="147">
        <f>_xlfn.XLOOKUP(A43,'[11]Program 10'!$A$7:$A$64,'[11]Program 10'!$E$7:$E$64,,0)</f>
        <v>23282355.481623609</v>
      </c>
      <c r="F43" s="148">
        <f t="shared" si="0"/>
        <v>0.51187034927180131</v>
      </c>
      <c r="G43" s="149">
        <f t="shared" si="1"/>
        <v>25405.769714348888</v>
      </c>
    </row>
    <row r="44" spans="1:7" x14ac:dyDescent="0.25">
      <c r="A44" s="146" t="s">
        <v>60</v>
      </c>
      <c r="B44" s="147">
        <f>_xlfn.XLOOKUP(A44,'[11]Program 10'!$A$7:$A$64,'[11]Program 10'!$B$7:$B$64,,0)</f>
        <v>326.8</v>
      </c>
      <c r="C44" s="147">
        <f>_xlfn.XLOOKUP(A44,'[11]Program 10'!$A$7:$A$64,'[11]Program 10'!$C$7:$C$64,,0)</f>
        <v>32883478.779147994</v>
      </c>
      <c r="D44" s="147">
        <f>_xlfn.XLOOKUP(A44,'[11]Program 10'!$A$7:$A$64,'[11]Program 10'!$D$7:$D$64,,0)</f>
        <v>10568572.617576083</v>
      </c>
      <c r="E44" s="147">
        <f>_xlfn.XLOOKUP(A44,'[11]Program 10'!$A$7:$A$64,'[11]Program 10'!$E$7:$E$64,,0)</f>
        <v>12771122.901200032</v>
      </c>
      <c r="F44" s="148">
        <f t="shared" si="0"/>
        <v>0.32139460330692887</v>
      </c>
      <c r="G44" s="149">
        <f t="shared" si="1"/>
        <v>39079.323443084555</v>
      </c>
    </row>
    <row r="45" spans="1:7" x14ac:dyDescent="0.25">
      <c r="A45" s="146" t="s">
        <v>45</v>
      </c>
      <c r="B45" s="147">
        <f>_xlfn.XLOOKUP(A45,'[11]Program 10'!$A$7:$A$64,'[11]Program 10'!$B$7:$B$64,,0)</f>
        <v>286.16499999999991</v>
      </c>
      <c r="C45" s="147">
        <f>_xlfn.XLOOKUP(A45,'[11]Program 10'!$A$7:$A$64,'[11]Program 10'!$C$7:$C$64,,0)</f>
        <v>21757384.41915996</v>
      </c>
      <c r="D45" s="147">
        <f>_xlfn.XLOOKUP(A45,'[11]Program 10'!$A$7:$A$64,'[11]Program 10'!$D$7:$D$64,,0)</f>
        <v>10912226.695271999</v>
      </c>
      <c r="E45" s="147">
        <f>_xlfn.XLOOKUP(A45,'[11]Program 10'!$A$7:$A$64,'[11]Program 10'!$E$7:$E$64,,0)</f>
        <v>4930632.6270000003</v>
      </c>
      <c r="F45" s="148">
        <f t="shared" si="0"/>
        <v>0.50154129214458731</v>
      </c>
      <c r="G45" s="149">
        <f t="shared" si="1"/>
        <v>17230.033816155021</v>
      </c>
    </row>
    <row r="46" spans="1:7" x14ac:dyDescent="0.25">
      <c r="A46" s="146" t="s">
        <v>32</v>
      </c>
      <c r="B46" s="147">
        <f>_xlfn.XLOOKUP(A46,'[11]Program 10'!$A$7:$A$64,'[11]Program 10'!$B$7:$B$64,,0)</f>
        <v>99.200000000000017</v>
      </c>
      <c r="C46" s="147">
        <f>_xlfn.XLOOKUP(A46,'[11]Program 10'!$A$7:$A$64,'[11]Program 10'!$C$7:$C$64,,0)</f>
        <v>8425785.8000000007</v>
      </c>
      <c r="D46" s="147">
        <f>_xlfn.XLOOKUP(A46,'[11]Program 10'!$A$7:$A$64,'[11]Program 10'!$D$7:$D$64,,0)</f>
        <v>4101097.7217479991</v>
      </c>
      <c r="E46" s="147">
        <f>_xlfn.XLOOKUP(A46,'[11]Program 10'!$A$7:$A$64,'[11]Program 10'!$E$7:$E$64,,0)</f>
        <v>1673353.1328000017</v>
      </c>
      <c r="F46" s="148">
        <f t="shared" si="0"/>
        <v>0.48673178016796947</v>
      </c>
      <c r="G46" s="149">
        <f t="shared" si="1"/>
        <v>16868.479161290335</v>
      </c>
    </row>
    <row r="47" spans="1:7" x14ac:dyDescent="0.25">
      <c r="A47" s="146" t="s">
        <v>46</v>
      </c>
      <c r="B47" s="147">
        <f>_xlfn.XLOOKUP(A47,'[11]Program 10'!$A$7:$A$64,'[11]Program 10'!$B$7:$B$64,,0)</f>
        <v>194.54999999999998</v>
      </c>
      <c r="C47" s="147">
        <f>_xlfn.XLOOKUP(A47,'[11]Program 10'!$A$7:$A$64,'[11]Program 10'!$C$7:$C$64,,0)</f>
        <v>19018072.136470579</v>
      </c>
      <c r="D47" s="147">
        <f>_xlfn.XLOOKUP(A47,'[11]Program 10'!$A$7:$A$64,'[11]Program 10'!$D$7:$D$64,,0)</f>
        <v>6436434.5139573356</v>
      </c>
      <c r="E47" s="147">
        <f>_xlfn.XLOOKUP(A47,'[11]Program 10'!$A$7:$A$64,'[11]Program 10'!$E$7:$E$64,,0)</f>
        <v>5441563.5</v>
      </c>
      <c r="F47" s="148">
        <f t="shared" si="0"/>
        <v>0.33843780104368798</v>
      </c>
      <c r="G47" s="149">
        <f t="shared" si="1"/>
        <v>27970.000000000004</v>
      </c>
    </row>
    <row r="48" spans="1:7" x14ac:dyDescent="0.25">
      <c r="A48" s="146" t="s">
        <v>47</v>
      </c>
      <c r="B48" s="147">
        <f>_xlfn.XLOOKUP(A48,'[11]Program 10'!$A$7:$A$64,'[11]Program 10'!$B$7:$B$64,,0)</f>
        <v>170.79999999999998</v>
      </c>
      <c r="C48" s="147">
        <f>_xlfn.XLOOKUP(A48,'[11]Program 10'!$A$7:$A$64,'[11]Program 10'!$C$7:$C$64,,0)</f>
        <v>13772072.907440003</v>
      </c>
      <c r="D48" s="147">
        <f>_xlfn.XLOOKUP(A48,'[11]Program 10'!$A$7:$A$64,'[11]Program 10'!$D$7:$D$64,,0)</f>
        <v>5846424.7840465149</v>
      </c>
      <c r="E48" s="147">
        <f>_xlfn.XLOOKUP(A48,'[11]Program 10'!$A$7:$A$64,'[11]Program 10'!$E$7:$E$64,,0)</f>
        <v>2731332.5199999996</v>
      </c>
      <c r="F48" s="148">
        <f t="shared" si="0"/>
        <v>0.42451305793539157</v>
      </c>
      <c r="G48" s="149">
        <f t="shared" si="1"/>
        <v>15991.40819672131</v>
      </c>
    </row>
    <row r="49" spans="1:7" x14ac:dyDescent="0.25">
      <c r="A49" s="146" t="s">
        <v>61</v>
      </c>
      <c r="B49" s="147">
        <f>_xlfn.XLOOKUP(A49,'[11]Program 10'!$A$7:$A$64,'[11]Program 10'!$B$7:$B$64,,0)</f>
        <v>407.23000000000013</v>
      </c>
      <c r="C49" s="147">
        <f>_xlfn.XLOOKUP(A49,'[11]Program 10'!$A$7:$A$64,'[11]Program 10'!$C$7:$C$64,,0)</f>
        <v>41963944.994294859</v>
      </c>
      <c r="D49" s="147">
        <f>_xlfn.XLOOKUP(A49,'[11]Program 10'!$A$7:$A$64,'[11]Program 10'!$D$7:$D$64,,0)</f>
        <v>15257669.165651586</v>
      </c>
      <c r="E49" s="147">
        <f>_xlfn.XLOOKUP(A49,'[11]Program 10'!$A$7:$A$64,'[11]Program 10'!$E$7:$E$64,,0)</f>
        <v>10216071.923360089</v>
      </c>
      <c r="F49" s="148">
        <f t="shared" si="0"/>
        <v>0.36358996199537286</v>
      </c>
      <c r="G49" s="149">
        <f t="shared" si="1"/>
        <v>25086.737036466089</v>
      </c>
    </row>
    <row r="50" spans="1:7" x14ac:dyDescent="0.25">
      <c r="A50" s="146" t="s">
        <v>33</v>
      </c>
      <c r="B50" s="147">
        <f>_xlfn.XLOOKUP(A50,'[11]Program 10'!$A$7:$A$64,'[11]Program 10'!$B$7:$B$64,,0)</f>
        <v>84.167106978871118</v>
      </c>
      <c r="C50" s="147">
        <f>_xlfn.XLOOKUP(A50,'[11]Program 10'!$A$7:$A$64,'[11]Program 10'!$C$7:$C$64,,0)</f>
        <v>6710724.918140999</v>
      </c>
      <c r="D50" s="147">
        <f>_xlfn.XLOOKUP(A50,'[11]Program 10'!$A$7:$A$64,'[11]Program 10'!$D$7:$D$64,,0)</f>
        <v>2626115.9533322286</v>
      </c>
      <c r="E50" s="147">
        <f>_xlfn.XLOOKUP(A50,'[11]Program 10'!$A$7:$A$64,'[11]Program 10'!$E$7:$E$64,,0)</f>
        <v>1828725.9481275466</v>
      </c>
      <c r="F50" s="148">
        <f t="shared" si="0"/>
        <v>0.39133118781744275</v>
      </c>
      <c r="G50" s="149">
        <f t="shared" si="1"/>
        <v>21727.323342438522</v>
      </c>
    </row>
    <row r="51" spans="1:7" x14ac:dyDescent="0.25">
      <c r="A51" s="146" t="s">
        <v>34</v>
      </c>
      <c r="B51" s="147">
        <f>_xlfn.XLOOKUP(A51,'[11]Program 10'!$A$7:$A$64,'[11]Program 10'!$B$7:$B$64,,0)</f>
        <v>108.3</v>
      </c>
      <c r="C51" s="147">
        <f>_xlfn.XLOOKUP(A51,'[11]Program 10'!$A$7:$A$64,'[11]Program 10'!$C$7:$C$64,,0)</f>
        <v>7713084.940999995</v>
      </c>
      <c r="D51" s="147">
        <f>_xlfn.XLOOKUP(A51,'[11]Program 10'!$A$7:$A$64,'[11]Program 10'!$D$7:$D$64,,0)</f>
        <v>1291257.9798365</v>
      </c>
      <c r="E51" s="147">
        <f>_xlfn.XLOOKUP(A51,'[11]Program 10'!$A$7:$A$64,'[11]Program 10'!$E$7:$E$64,,0)</f>
        <v>2572938.1988637326</v>
      </c>
      <c r="F51" s="148">
        <f t="shared" si="0"/>
        <v>0.16741135222984974</v>
      </c>
      <c r="G51" s="149">
        <f t="shared" si="1"/>
        <v>23757.508761437974</v>
      </c>
    </row>
    <row r="52" spans="1:7" x14ac:dyDescent="0.25">
      <c r="A52" s="146" t="s">
        <v>17</v>
      </c>
      <c r="B52" s="147">
        <f>_xlfn.XLOOKUP(A52,'[11]Program 10'!$A$7:$A$64,'[11]Program 10'!$B$7:$B$64,,0)</f>
        <v>2.62</v>
      </c>
      <c r="C52" s="147">
        <f>_xlfn.XLOOKUP(A52,'[11]Program 10'!$A$7:$A$64,'[11]Program 10'!$C$7:$C$64,,0)</f>
        <v>145297.25</v>
      </c>
      <c r="D52" s="147">
        <f>_xlfn.XLOOKUP(A52,'[11]Program 10'!$A$7:$A$64,'[11]Program 10'!$D$7:$D$64,,0)</f>
        <v>56513.053140000011</v>
      </c>
      <c r="E52" s="147">
        <f>_xlfn.XLOOKUP(A52,'[11]Program 10'!$A$7:$A$64,'[11]Program 10'!$E$7:$E$64,,0)</f>
        <v>66855.87999999999</v>
      </c>
      <c r="F52" s="148">
        <f t="shared" si="0"/>
        <v>0.38894785097446793</v>
      </c>
      <c r="G52" s="149">
        <f t="shared" si="1"/>
        <v>25517.511450381673</v>
      </c>
    </row>
    <row r="53" spans="1:7" x14ac:dyDescent="0.25">
      <c r="A53" s="146" t="s">
        <v>35</v>
      </c>
      <c r="B53" s="147">
        <f>_xlfn.XLOOKUP(A53,'[11]Program 10'!$A$7:$A$64,'[11]Program 10'!$B$7:$B$64,,0)</f>
        <v>22.650000000000002</v>
      </c>
      <c r="C53" s="147">
        <f>_xlfn.XLOOKUP(A53,'[11]Program 10'!$A$7:$A$64,'[11]Program 10'!$C$7:$C$64,,0)</f>
        <v>1864009.6500000006</v>
      </c>
      <c r="D53" s="147">
        <f>_xlfn.XLOOKUP(A53,'[11]Program 10'!$A$7:$A$64,'[11]Program 10'!$D$7:$D$64,,0)</f>
        <v>869262.26018099964</v>
      </c>
      <c r="E53" s="147">
        <f>_xlfn.XLOOKUP(A53,'[11]Program 10'!$A$7:$A$64,'[11]Program 10'!$E$7:$E$64,,0)</f>
        <v>588936.84799999988</v>
      </c>
      <c r="F53" s="148">
        <f t="shared" si="0"/>
        <v>0.46633999999999964</v>
      </c>
      <c r="G53" s="149">
        <f t="shared" si="1"/>
        <v>26001.626843267102</v>
      </c>
    </row>
    <row r="54" spans="1:7" x14ac:dyDescent="0.25">
      <c r="A54" s="146" t="s">
        <v>48</v>
      </c>
      <c r="B54" s="147">
        <f>_xlfn.XLOOKUP(A54,'[11]Program 10'!$A$7:$A$64,'[11]Program 10'!$B$7:$B$64,,0)</f>
        <v>169.95</v>
      </c>
      <c r="C54" s="147">
        <f>_xlfn.XLOOKUP(A54,'[11]Program 10'!$A$7:$A$64,'[11]Program 10'!$C$7:$C$64,,0)</f>
        <v>14355460.991014089</v>
      </c>
      <c r="D54" s="147">
        <f>_xlfn.XLOOKUP(A54,'[11]Program 10'!$A$7:$A$64,'[11]Program 10'!$D$7:$D$64,,0)</f>
        <v>7682734.8954785336</v>
      </c>
      <c r="E54" s="147">
        <f>_xlfn.XLOOKUP(A54,'[11]Program 10'!$A$7:$A$64,'[11]Program 10'!$E$7:$E$64,,0)</f>
        <v>3392853.5394999986</v>
      </c>
      <c r="F54" s="148">
        <f t="shared" si="0"/>
        <v>0.53517855680758708</v>
      </c>
      <c r="G54" s="149">
        <f t="shared" si="1"/>
        <v>19963.833712856715</v>
      </c>
    </row>
    <row r="55" spans="1:7" x14ac:dyDescent="0.25">
      <c r="A55" s="146" t="s">
        <v>49</v>
      </c>
      <c r="B55" s="147">
        <f>_xlfn.XLOOKUP(A55,'[11]Program 10'!$A$7:$A$64,'[11]Program 10'!$B$7:$B$64,,0)</f>
        <v>155.99</v>
      </c>
      <c r="C55" s="147">
        <f>_xlfn.XLOOKUP(A55,'[11]Program 10'!$A$7:$A$64,'[11]Program 10'!$C$7:$C$64,,0)</f>
        <v>13319806.054963257</v>
      </c>
      <c r="D55" s="147">
        <f>_xlfn.XLOOKUP(A55,'[11]Program 10'!$A$7:$A$64,'[11]Program 10'!$D$7:$D$64,,0)</f>
        <v>5703491.0993009266</v>
      </c>
      <c r="E55" s="147">
        <f>_xlfn.XLOOKUP(A55,'[11]Program 10'!$A$7:$A$64,'[11]Program 10'!$E$7:$E$64,,0)</f>
        <v>3657616.2665999979</v>
      </c>
      <c r="F55" s="148">
        <f t="shared" si="0"/>
        <v>0.42819625719517729</v>
      </c>
      <c r="G55" s="149">
        <f t="shared" si="1"/>
        <v>23447.761180844911</v>
      </c>
    </row>
    <row r="56" spans="1:7" x14ac:dyDescent="0.25">
      <c r="A56" s="146" t="s">
        <v>50</v>
      </c>
      <c r="B56" s="147">
        <f>_xlfn.XLOOKUP(A56,'[11]Program 10'!$A$7:$A$64,'[11]Program 10'!$B$7:$B$64,,0)</f>
        <v>195.05</v>
      </c>
      <c r="C56" s="147">
        <f>_xlfn.XLOOKUP(A56,'[11]Program 10'!$A$7:$A$64,'[11]Program 10'!$C$7:$C$64,,0)</f>
        <v>14243253.049999988</v>
      </c>
      <c r="D56" s="147">
        <f>_xlfn.XLOOKUP(A56,'[11]Program 10'!$A$7:$A$64,'[11]Program 10'!$D$7:$D$64,,0)</f>
        <v>5221854.5197718004</v>
      </c>
      <c r="E56" s="147">
        <f>_xlfn.XLOOKUP(A56,'[11]Program 10'!$A$7:$A$64,'[11]Program 10'!$E$7:$E$64,,0)</f>
        <v>4042037.2609999864</v>
      </c>
      <c r="F56" s="148">
        <f t="shared" si="0"/>
        <v>0.36661951461796188</v>
      </c>
      <c r="G56" s="149">
        <f t="shared" si="1"/>
        <v>20723.082599333433</v>
      </c>
    </row>
    <row r="57" spans="1:7" x14ac:dyDescent="0.25">
      <c r="A57" s="146" t="s">
        <v>36</v>
      </c>
      <c r="B57" s="147">
        <f>_xlfn.XLOOKUP(A57,'[11]Program 10'!$A$7:$A$64,'[11]Program 10'!$B$7:$B$64,,0)</f>
        <v>34.299999999999997</v>
      </c>
      <c r="C57" s="147">
        <f>_xlfn.XLOOKUP(A57,'[11]Program 10'!$A$7:$A$64,'[11]Program 10'!$C$7:$C$64,,0)</f>
        <v>2321989.5799999996</v>
      </c>
      <c r="D57" s="147">
        <f>_xlfn.XLOOKUP(A57,'[11]Program 10'!$A$7:$A$64,'[11]Program 10'!$D$7:$D$64,,0)</f>
        <v>1057110.3277919998</v>
      </c>
      <c r="E57" s="147">
        <f>_xlfn.XLOOKUP(A57,'[11]Program 10'!$A$7:$A$64,'[11]Program 10'!$E$7:$E$64,,0)</f>
        <v>945769.36299999955</v>
      </c>
      <c r="F57" s="148">
        <f t="shared" si="0"/>
        <v>0.45526058208753889</v>
      </c>
      <c r="G57" s="149">
        <f t="shared" si="1"/>
        <v>27573.45081632652</v>
      </c>
    </row>
    <row r="58" spans="1:7" x14ac:dyDescent="0.25">
      <c r="A58" s="146" t="s">
        <v>37</v>
      </c>
      <c r="B58" s="147">
        <f>_xlfn.XLOOKUP(A58,'[11]Program 10'!$A$7:$A$64,'[11]Program 10'!$B$7:$B$64,,0)</f>
        <v>31.900000000000002</v>
      </c>
      <c r="C58" s="147">
        <f>_xlfn.XLOOKUP(A58,'[11]Program 10'!$A$7:$A$64,'[11]Program 10'!$C$7:$C$64,,0)</f>
        <v>2127355.0420000013</v>
      </c>
      <c r="D58" s="147">
        <f>_xlfn.XLOOKUP(A58,'[11]Program 10'!$A$7:$A$64,'[11]Program 10'!$D$7:$D$64,,0)</f>
        <v>856786.95056619996</v>
      </c>
      <c r="E58" s="147">
        <f>_xlfn.XLOOKUP(A58,'[11]Program 10'!$A$7:$A$64,'[11]Program 10'!$E$7:$E$64,,0)</f>
        <v>762526.69200000004</v>
      </c>
      <c r="F58" s="148">
        <f t="shared" si="0"/>
        <v>0.40274751212223814</v>
      </c>
      <c r="G58" s="149">
        <f t="shared" si="1"/>
        <v>23903.658056426331</v>
      </c>
    </row>
    <row r="59" spans="1:7" x14ac:dyDescent="0.25">
      <c r="A59" s="146" t="s">
        <v>18</v>
      </c>
      <c r="B59" s="147">
        <f>_xlfn.XLOOKUP(A59,'[11]Program 10'!$A$7:$A$64,'[11]Program 10'!$B$7:$B$64,,0)</f>
        <v>5.4600000000000009</v>
      </c>
      <c r="C59" s="147">
        <f>_xlfn.XLOOKUP(A59,'[11]Program 10'!$A$7:$A$64,'[11]Program 10'!$C$7:$C$64,,0)</f>
        <v>387232.31800000003</v>
      </c>
      <c r="D59" s="147">
        <f>_xlfn.XLOOKUP(A59,'[11]Program 10'!$A$7:$A$64,'[11]Program 10'!$D$7:$D$64,,0)</f>
        <v>180314.07486599998</v>
      </c>
      <c r="E59" s="147">
        <f>_xlfn.XLOOKUP(A59,'[11]Program 10'!$A$7:$A$64,'[11]Program 10'!$E$7:$E$64,,0)</f>
        <v>63043.12</v>
      </c>
      <c r="F59" s="148">
        <f t="shared" si="0"/>
        <v>0.46564831106374743</v>
      </c>
      <c r="G59" s="149">
        <f t="shared" si="1"/>
        <v>11546.358974358973</v>
      </c>
    </row>
    <row r="60" spans="1:7" x14ac:dyDescent="0.25">
      <c r="A60" s="146" t="s">
        <v>51</v>
      </c>
      <c r="B60" s="147">
        <f>_xlfn.XLOOKUP(A60,'[11]Program 10'!$A$7:$A$64,'[11]Program 10'!$B$7:$B$64,,0)</f>
        <v>211</v>
      </c>
      <c r="C60" s="147">
        <f>_xlfn.XLOOKUP(A60,'[11]Program 10'!$A$7:$A$64,'[11]Program 10'!$C$7:$C$64,,0)</f>
        <v>14762252.119999969</v>
      </c>
      <c r="D60" s="147">
        <f>_xlfn.XLOOKUP(A60,'[11]Program 10'!$A$7:$A$64,'[11]Program 10'!$D$7:$D$64,,0)</f>
        <v>4549813.9334350042</v>
      </c>
      <c r="E60" s="147">
        <f>_xlfn.XLOOKUP(A60,'[11]Program 10'!$A$7:$A$64,'[11]Program 10'!$E$7:$E$64,,0)</f>
        <v>7415258.4400000162</v>
      </c>
      <c r="F60" s="148">
        <f t="shared" si="0"/>
        <v>0.30820594963765013</v>
      </c>
      <c r="G60" s="149">
        <f t="shared" si="1"/>
        <v>35143.404928910029</v>
      </c>
    </row>
    <row r="61" spans="1:7" x14ac:dyDescent="0.25">
      <c r="A61" s="146" t="s">
        <v>38</v>
      </c>
      <c r="B61" s="147">
        <f>_xlfn.XLOOKUP(A61,'[11]Program 10'!$A$7:$A$64,'[11]Program 10'!$B$7:$B$64,,0)</f>
        <v>34</v>
      </c>
      <c r="C61" s="147">
        <f>_xlfn.XLOOKUP(A61,'[11]Program 10'!$A$7:$A$64,'[11]Program 10'!$C$7:$C$64,,0)</f>
        <v>2397962</v>
      </c>
      <c r="D61" s="147">
        <f>_xlfn.XLOOKUP(A61,'[11]Program 10'!$A$7:$A$64,'[11]Program 10'!$D$7:$D$64,,0)</f>
        <v>767696.73852000025</v>
      </c>
      <c r="E61" s="147">
        <f>_xlfn.XLOOKUP(A61,'[11]Program 10'!$A$7:$A$64,'[11]Program 10'!$E$7:$E$64,,0)</f>
        <v>1205456.17</v>
      </c>
      <c r="F61" s="148">
        <f t="shared" si="0"/>
        <v>0.3201454979353302</v>
      </c>
      <c r="G61" s="149">
        <f t="shared" si="1"/>
        <v>35454.593235294116</v>
      </c>
    </row>
    <row r="62" spans="1:7" x14ac:dyDescent="0.25">
      <c r="A62" s="146" t="s">
        <v>52</v>
      </c>
      <c r="B62" s="147">
        <f>_xlfn.XLOOKUP(A62,'[11]Program 10'!$A$7:$A$64,'[11]Program 10'!$B$7:$B$64,,0)</f>
        <v>238.30120000000002</v>
      </c>
      <c r="C62" s="147">
        <f>_xlfn.XLOOKUP(A62,'[11]Program 10'!$A$7:$A$64,'[11]Program 10'!$C$7:$C$64,,0)</f>
        <v>20163117.664428007</v>
      </c>
      <c r="D62" s="147">
        <f>_xlfn.XLOOKUP(A62,'[11]Program 10'!$A$7:$A$64,'[11]Program 10'!$D$7:$D$64,,0)</f>
        <v>5234294.5796358706</v>
      </c>
      <c r="E62" s="147">
        <f>_xlfn.XLOOKUP(A62,'[11]Program 10'!$A$7:$A$64,'[11]Program 10'!$E$7:$E$64,,0)</f>
        <v>4563826.7463599974</v>
      </c>
      <c r="F62" s="148">
        <f t="shared" si="0"/>
        <v>0.25959748223213863</v>
      </c>
      <c r="G62" s="149">
        <f t="shared" si="1"/>
        <v>19151.505516380097</v>
      </c>
    </row>
    <row r="63" spans="1:7" x14ac:dyDescent="0.25">
      <c r="A63" s="146" t="s">
        <v>39</v>
      </c>
      <c r="B63" s="147">
        <f>_xlfn.XLOOKUP(A63,'[11]Program 10'!$A$7:$A$64,'[11]Program 10'!$B$7:$B$64,,0)</f>
        <v>82.75</v>
      </c>
      <c r="C63" s="147">
        <f>_xlfn.XLOOKUP(A63,'[11]Program 10'!$A$7:$A$64,'[11]Program 10'!$C$7:$C$64,,0)</f>
        <v>6353151.5454999991</v>
      </c>
      <c r="D63" s="147">
        <f>_xlfn.XLOOKUP(A63,'[11]Program 10'!$A$7:$A$64,'[11]Program 10'!$D$7:$D$64,,0)</f>
        <v>1138515.4019408387</v>
      </c>
      <c r="E63" s="147">
        <f>_xlfn.XLOOKUP(A63,'[11]Program 10'!$A$7:$A$64,'[11]Program 10'!$E$7:$E$64,,0)</f>
        <v>3352359.0870000022</v>
      </c>
      <c r="F63" s="148">
        <f t="shared" si="0"/>
        <v>0.17920482358826473</v>
      </c>
      <c r="G63" s="149">
        <f t="shared" si="1"/>
        <v>40511.892290030235</v>
      </c>
    </row>
    <row r="64" spans="1:7" x14ac:dyDescent="0.25">
      <c r="A64" s="146" t="s">
        <v>40</v>
      </c>
      <c r="B64" s="147">
        <f>_xlfn.XLOOKUP(A64,'[11]Program 10'!$A$7:$A$64,'[11]Program 10'!$B$7:$B$64,,0)</f>
        <v>38.750000000000014</v>
      </c>
      <c r="C64" s="147">
        <f>_xlfn.XLOOKUP(A64,'[11]Program 10'!$A$7:$A$64,'[11]Program 10'!$C$7:$C$64,,0)</f>
        <v>2869639.5449999999</v>
      </c>
      <c r="D64" s="147">
        <f>_xlfn.XLOOKUP(A64,'[11]Program 10'!$A$7:$A$64,'[11]Program 10'!$D$7:$D$64,,0)</f>
        <v>310208.03481450002</v>
      </c>
      <c r="E64" s="147">
        <f>_xlfn.XLOOKUP(A64,'[11]Program 10'!$A$7:$A$64,'[11]Program 10'!$E$7:$E$64,,0)</f>
        <v>737635.12749999959</v>
      </c>
      <c r="F64" s="148">
        <f t="shared" si="0"/>
        <v>0.10810000000000002</v>
      </c>
      <c r="G64" s="149">
        <f t="shared" si="1"/>
        <v>19035.745225806433</v>
      </c>
    </row>
    <row r="65" spans="1:7" s="112" customFormat="1" ht="15.75" thickBot="1" x14ac:dyDescent="0.3">
      <c r="A65" s="98" t="s">
        <v>174</v>
      </c>
      <c r="B65" s="155">
        <f>SUM(B7:B64)</f>
        <v>13433.606820624605</v>
      </c>
      <c r="C65" s="77">
        <f t="shared" ref="C65:E65" si="2">SUM(C7:C64)</f>
        <v>1129798099.7643075</v>
      </c>
      <c r="D65" s="77">
        <f t="shared" si="2"/>
        <v>416504333.93578506</v>
      </c>
      <c r="E65" s="77">
        <f t="shared" si="2"/>
        <v>316802330.14715302</v>
      </c>
      <c r="F65" s="156">
        <f t="shared" si="0"/>
        <v>0.36865377453075376</v>
      </c>
      <c r="G65" s="77">
        <f t="shared" ref="G65" si="3">(E65)/B65</f>
        <v>23582.819891733518</v>
      </c>
    </row>
    <row r="66" spans="1:7" ht="15.75" thickTop="1" x14ac:dyDescent="0.25">
      <c r="D66" s="151"/>
      <c r="G66" s="150"/>
    </row>
    <row r="67" spans="1:7" x14ac:dyDescent="0.25">
      <c r="B67" s="152"/>
      <c r="C67" s="152"/>
      <c r="D67" s="152"/>
    </row>
    <row r="68" spans="1:7" x14ac:dyDescent="0.25">
      <c r="D68" s="151"/>
    </row>
  </sheetData>
  <mergeCells count="2">
    <mergeCell ref="B4:C4"/>
    <mergeCell ref="A5:A6"/>
  </mergeCells>
  <printOptions horizontalCentered="1"/>
  <pageMargins left="0.25" right="0.25" top="0.5" bottom="0.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92752-F3C8-4A0F-BD86-D9A5A44C2BE7}">
  <sheetPr codeName="Sheet5">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B8" sqref="B8"/>
    </sheetView>
  </sheetViews>
  <sheetFormatPr defaultColWidth="9.42578125" defaultRowHeight="15" x14ac:dyDescent="0.25"/>
  <cols>
    <col min="1" max="1" width="16.42578125" style="53" customWidth="1"/>
    <col min="2" max="2" width="15.5703125" style="53" bestFit="1" customWidth="1"/>
    <col min="3" max="3" width="14.5703125" style="53" bestFit="1" customWidth="1"/>
    <col min="4" max="4" width="16.42578125" style="53" customWidth="1"/>
    <col min="5" max="5" width="16.42578125" style="53" bestFit="1" customWidth="1"/>
    <col min="6" max="6" width="15.42578125" style="53" customWidth="1"/>
    <col min="7" max="7" width="16.42578125" style="53" bestFit="1" customWidth="1"/>
    <col min="8" max="16384" width="9.42578125" style="53"/>
  </cols>
  <sheetData>
    <row r="1" spans="1:7" ht="18.75" x14ac:dyDescent="0.25">
      <c r="A1" s="153" t="s">
        <v>128</v>
      </c>
    </row>
    <row r="2" spans="1:7" x14ac:dyDescent="0.25">
      <c r="A2" s="49" t="s">
        <v>245</v>
      </c>
    </row>
    <row r="4" spans="1:7" x14ac:dyDescent="0.25">
      <c r="B4" s="294" t="s">
        <v>240</v>
      </c>
      <c r="C4" s="295"/>
    </row>
    <row r="5" spans="1:7" ht="60" x14ac:dyDescent="0.25">
      <c r="A5" s="296" t="s">
        <v>63</v>
      </c>
      <c r="B5" s="191" t="s">
        <v>186</v>
      </c>
      <c r="C5" s="191" t="s">
        <v>185</v>
      </c>
      <c r="D5" s="42" t="s">
        <v>199</v>
      </c>
      <c r="E5" s="192" t="s">
        <v>200</v>
      </c>
      <c r="F5" s="42" t="s">
        <v>201</v>
      </c>
      <c r="G5" s="42" t="s">
        <v>202</v>
      </c>
    </row>
    <row r="6" spans="1:7" x14ac:dyDescent="0.25">
      <c r="A6" s="297"/>
      <c r="B6" s="78" t="s">
        <v>65</v>
      </c>
      <c r="C6" s="78" t="s">
        <v>1</v>
      </c>
      <c r="D6" s="78" t="s">
        <v>66</v>
      </c>
      <c r="E6" s="78" t="s">
        <v>2</v>
      </c>
      <c r="F6" s="78" t="s">
        <v>3</v>
      </c>
      <c r="G6" s="78" t="s">
        <v>83</v>
      </c>
    </row>
    <row r="7" spans="1:7" x14ac:dyDescent="0.25">
      <c r="A7" s="146" t="s">
        <v>53</v>
      </c>
      <c r="B7" s="147">
        <f>_xlfn.XLOOKUP(A7,'[11]Program 90'!$A$7:$A$64,'[11]Program 90'!$B$7:$B$64,0)</f>
        <v>102</v>
      </c>
      <c r="C7" s="147">
        <f>_xlfn.XLOOKUP(A7,'[11]Program 90'!$A$7:$A$64,'[11]Program 90'!$C$7:$C$64,0)</f>
        <v>13031314.611815382</v>
      </c>
      <c r="D7" s="147">
        <f>_xlfn.XLOOKUP(A7,'[11]Program 90'!$A$7:$A$64,'[11]Program 90'!$D$7:$D$64,0)</f>
        <v>4142221.4290307336</v>
      </c>
      <c r="E7" s="147">
        <f>_xlfn.XLOOKUP(A7,'[11]Program 90'!$A$7:$A$64,'[11]Program 90'!$E$7:$E$64,0)</f>
        <v>2343285</v>
      </c>
      <c r="F7" s="148">
        <f>D7/C7</f>
        <v>0.31786673504720825</v>
      </c>
      <c r="G7" s="149">
        <f>E7/B7</f>
        <v>22973.382352941175</v>
      </c>
    </row>
    <row r="8" spans="1:7" x14ac:dyDescent="0.25">
      <c r="A8" s="146" t="s">
        <v>4</v>
      </c>
      <c r="B8" s="147">
        <f>_xlfn.XLOOKUP(A8,'[11]Program 90'!$A$7:$A$64,'[11]Program 90'!$B$7:$B$64,0)</f>
        <v>0.2</v>
      </c>
      <c r="C8" s="147">
        <f>_xlfn.XLOOKUP(A8,'[11]Program 90'!$A$7:$A$64,'[11]Program 90'!$C$7:$C$64,0)</f>
        <v>14843.675999999999</v>
      </c>
      <c r="D8" s="147">
        <f>_xlfn.XLOOKUP(A8,'[11]Program 90'!$A$7:$A$64,'[11]Program 90'!$D$7:$D$64,0)</f>
        <v>7284.6824337600001</v>
      </c>
      <c r="E8" s="147">
        <f>_xlfn.XLOOKUP(A8,'[11]Program 90'!$A$7:$A$64,'[11]Program 90'!$E$7:$E$64,0)</f>
        <v>7712.6459999999997</v>
      </c>
      <c r="F8" s="148">
        <f t="shared" ref="F8:F65" si="0">D8/C8</f>
        <v>0.49076000000000003</v>
      </c>
      <c r="G8" s="149">
        <f t="shared" ref="G8:G65" si="1">E8/B8</f>
        <v>38563.229999999996</v>
      </c>
    </row>
    <row r="9" spans="1:7" x14ac:dyDescent="0.25">
      <c r="A9" s="146" t="s">
        <v>5</v>
      </c>
      <c r="B9" s="147">
        <f>_xlfn.XLOOKUP(A9,'[11]Program 90'!$A$7:$A$64,'[11]Program 90'!$B$7:$B$64,0)</f>
        <v>4.8499999999999996</v>
      </c>
      <c r="C9" s="147">
        <f>_xlfn.XLOOKUP(A9,'[11]Program 90'!$A$7:$A$64,'[11]Program 90'!$C$7:$C$64,0)</f>
        <v>467468.30000000005</v>
      </c>
      <c r="D9" s="147">
        <f>_xlfn.XLOOKUP(A9,'[11]Program 90'!$A$7:$A$64,'[11]Program 90'!$D$7:$D$64,0)</f>
        <v>194373.31913999998</v>
      </c>
      <c r="E9" s="147">
        <f>_xlfn.XLOOKUP(A9,'[11]Program 90'!$A$7:$A$64,'[11]Program 90'!$E$7:$E$64,0)</f>
        <v>58697.677999999993</v>
      </c>
      <c r="F9" s="148">
        <f t="shared" si="0"/>
        <v>0.41579999999999989</v>
      </c>
      <c r="G9" s="149">
        <f t="shared" si="1"/>
        <v>12102.614020618556</v>
      </c>
    </row>
    <row r="10" spans="1:7" x14ac:dyDescent="0.25">
      <c r="A10" s="146" t="s">
        <v>19</v>
      </c>
      <c r="B10" s="147">
        <f>_xlfn.XLOOKUP(A10,'[11]Program 90'!$A$7:$A$64,'[11]Program 90'!$B$7:$B$64,0)</f>
        <v>22.300000000000004</v>
      </c>
      <c r="C10" s="147">
        <f>_xlfn.XLOOKUP(A10,'[11]Program 90'!$A$7:$A$64,'[11]Program 90'!$C$7:$C$64,0)</f>
        <v>1801012.8638761204</v>
      </c>
      <c r="D10" s="147">
        <f>_xlfn.XLOOKUP(A10,'[11]Program 90'!$A$7:$A$64,'[11]Program 90'!$D$7:$D$64,0)</f>
        <v>609459.55256522004</v>
      </c>
      <c r="E10" s="147">
        <f>_xlfn.XLOOKUP(A10,'[11]Program 90'!$A$7:$A$64,'[11]Program 90'!$E$7:$E$64,0)</f>
        <v>374338.88200000004</v>
      </c>
      <c r="F10" s="148">
        <f t="shared" si="0"/>
        <v>0.33839822290527555</v>
      </c>
      <c r="G10" s="149">
        <f t="shared" si="1"/>
        <v>16786.496950672645</v>
      </c>
    </row>
    <row r="11" spans="1:7" x14ac:dyDescent="0.25">
      <c r="A11" s="146" t="s">
        <v>6</v>
      </c>
      <c r="B11" s="147">
        <f>_xlfn.XLOOKUP(A11,'[11]Program 90'!$A$7:$A$64,'[11]Program 90'!$B$7:$B$64,0)</f>
        <v>5</v>
      </c>
      <c r="C11" s="147">
        <f>_xlfn.XLOOKUP(A11,'[11]Program 90'!$A$7:$A$64,'[11]Program 90'!$C$7:$C$64,0)</f>
        <v>450098.58400000003</v>
      </c>
      <c r="D11" s="147">
        <f>_xlfn.XLOOKUP(A11,'[11]Program 90'!$A$7:$A$64,'[11]Program 90'!$D$7:$D$64,0)</f>
        <v>103123.2477912</v>
      </c>
      <c r="E11" s="147">
        <f>_xlfn.XLOOKUP(A11,'[11]Program 90'!$A$7:$A$64,'[11]Program 90'!$E$7:$E$64,0)</f>
        <v>33658.78</v>
      </c>
      <c r="F11" s="148">
        <f t="shared" si="0"/>
        <v>0.22911257990360617</v>
      </c>
      <c r="G11" s="149">
        <f t="shared" si="1"/>
        <v>6731.7559999999994</v>
      </c>
    </row>
    <row r="12" spans="1:7" x14ac:dyDescent="0.25">
      <c r="A12" s="146" t="s">
        <v>7</v>
      </c>
      <c r="B12" s="147">
        <f>_xlfn.XLOOKUP(A12,'[11]Program 90'!$A$7:$A$64,'[11]Program 90'!$B$7:$B$64,0)</f>
        <v>4.45</v>
      </c>
      <c r="C12" s="147">
        <f>_xlfn.XLOOKUP(A12,'[11]Program 90'!$A$7:$A$64,'[11]Program 90'!$C$7:$C$64,0)</f>
        <v>275489.75</v>
      </c>
      <c r="D12" s="147">
        <f>_xlfn.XLOOKUP(A12,'[11]Program 90'!$A$7:$A$64,'[11]Program 90'!$D$7:$D$64,0)</f>
        <v>122176.45837499999</v>
      </c>
      <c r="E12" s="147">
        <f>_xlfn.XLOOKUP(A12,'[11]Program 90'!$A$7:$A$64,'[11]Program 90'!$E$7:$E$64,0)</f>
        <v>58308.46</v>
      </c>
      <c r="F12" s="148">
        <f t="shared" si="0"/>
        <v>0.44348821825494411</v>
      </c>
      <c r="G12" s="149">
        <f t="shared" si="1"/>
        <v>13103.024719101122</v>
      </c>
    </row>
    <row r="13" spans="1:7" x14ac:dyDescent="0.25">
      <c r="A13" s="146" t="s">
        <v>41</v>
      </c>
      <c r="B13" s="147">
        <f>_xlfn.XLOOKUP(A13,'[11]Program 90'!$A$7:$A$64,'[11]Program 90'!$B$7:$B$64,0)</f>
        <v>48.540000000000006</v>
      </c>
      <c r="C13" s="147">
        <f>_xlfn.XLOOKUP(A13,'[11]Program 90'!$A$7:$A$64,'[11]Program 90'!$C$7:$C$64,0)</f>
        <v>5021567.2600000007</v>
      </c>
      <c r="D13" s="147">
        <f>_xlfn.XLOOKUP(A13,'[11]Program 90'!$A$7:$A$64,'[11]Program 90'!$D$7:$D$64,0)</f>
        <v>1509549.9726571194</v>
      </c>
      <c r="E13" s="147">
        <f>_xlfn.XLOOKUP(A13,'[11]Program 90'!$A$7:$A$64,'[11]Program 90'!$E$7:$E$64,0)</f>
        <v>1297044.9515999998</v>
      </c>
      <c r="F13" s="148">
        <f t="shared" si="0"/>
        <v>0.30061331343336806</v>
      </c>
      <c r="G13" s="149">
        <f t="shared" si="1"/>
        <v>26721.156810877619</v>
      </c>
    </row>
    <row r="14" spans="1:7" x14ac:dyDescent="0.25">
      <c r="A14" s="146" t="s">
        <v>8</v>
      </c>
      <c r="B14" s="147">
        <f>_xlfn.XLOOKUP(A14,'[11]Program 90'!$A$7:$A$64,'[11]Program 90'!$B$7:$B$64,0)</f>
        <v>3</v>
      </c>
      <c r="C14" s="147">
        <f>_xlfn.XLOOKUP(A14,'[11]Program 90'!$A$7:$A$64,'[11]Program 90'!$C$7:$C$64,0)</f>
        <v>295963.00266666664</v>
      </c>
      <c r="D14" s="147">
        <f>_xlfn.XLOOKUP(A14,'[11]Program 90'!$A$7:$A$64,'[11]Program 90'!$D$7:$D$64,0)</f>
        <v>97194.250075733318</v>
      </c>
      <c r="E14" s="147">
        <f>_xlfn.XLOOKUP(A14,'[11]Program 90'!$A$7:$A$64,'[11]Program 90'!$E$7:$E$64,0)</f>
        <v>86512.28</v>
      </c>
      <c r="F14" s="148">
        <f t="shared" si="0"/>
        <v>0.32839999999999997</v>
      </c>
      <c r="G14" s="149">
        <f t="shared" si="1"/>
        <v>28837.426666666666</v>
      </c>
    </row>
    <row r="15" spans="1:7" x14ac:dyDescent="0.25">
      <c r="A15" s="146" t="s">
        <v>20</v>
      </c>
      <c r="B15" s="147">
        <f>_xlfn.XLOOKUP(A15,'[11]Program 90'!$A$7:$A$64,'[11]Program 90'!$B$7:$B$64,0)</f>
        <v>10.9</v>
      </c>
      <c r="C15" s="147">
        <f>_xlfn.XLOOKUP(A15,'[11]Program 90'!$A$7:$A$64,'[11]Program 90'!$C$7:$C$64,0)</f>
        <v>1165765.1200000001</v>
      </c>
      <c r="D15" s="147">
        <f>_xlfn.XLOOKUP(A15,'[11]Program 90'!$A$7:$A$64,'[11]Program 90'!$D$7:$D$64,0)</f>
        <v>408938.74644480005</v>
      </c>
      <c r="E15" s="147">
        <f>_xlfn.XLOOKUP(A15,'[11]Program 90'!$A$7:$A$64,'[11]Program 90'!$E$7:$E$64,0)</f>
        <v>194014.98099999997</v>
      </c>
      <c r="F15" s="148">
        <f t="shared" si="0"/>
        <v>0.35078999999999999</v>
      </c>
      <c r="G15" s="149">
        <f t="shared" si="1"/>
        <v>17799.539541284401</v>
      </c>
    </row>
    <row r="16" spans="1:7" x14ac:dyDescent="0.25">
      <c r="A16" s="146" t="s">
        <v>42</v>
      </c>
      <c r="B16" s="147">
        <f>_xlfn.XLOOKUP(A16,'[11]Program 90'!$A$7:$A$64,'[11]Program 90'!$B$7:$B$64,0)</f>
        <v>61.400000000000006</v>
      </c>
      <c r="C16" s="147">
        <f>_xlfn.XLOOKUP(A16,'[11]Program 90'!$A$7:$A$64,'[11]Program 90'!$C$7:$C$64,0)</f>
        <v>5617880.7699999986</v>
      </c>
      <c r="D16" s="147">
        <f>_xlfn.XLOOKUP(A16,'[11]Program 90'!$A$7:$A$64,'[11]Program 90'!$D$7:$D$64,0)</f>
        <v>3321659.4935580003</v>
      </c>
      <c r="E16" s="147">
        <f>_xlfn.XLOOKUP(A16,'[11]Program 90'!$A$7:$A$64,'[11]Program 90'!$E$7:$E$64,0)</f>
        <v>1062835.3317419998</v>
      </c>
      <c r="F16" s="148">
        <f t="shared" si="0"/>
        <v>0.59126557318481521</v>
      </c>
      <c r="G16" s="149">
        <f t="shared" si="1"/>
        <v>17310.021689609115</v>
      </c>
    </row>
    <row r="17" spans="1:7" x14ac:dyDescent="0.25">
      <c r="A17" s="146" t="s">
        <v>9</v>
      </c>
      <c r="B17" s="147">
        <f>_xlfn.XLOOKUP(A17,'[11]Program 90'!$A$7:$A$64,'[11]Program 90'!$B$7:$B$64,0)</f>
        <v>1.55</v>
      </c>
      <c r="C17" s="147">
        <f>_xlfn.XLOOKUP(A17,'[11]Program 90'!$A$7:$A$64,'[11]Program 90'!$C$7:$C$64,0)</f>
        <v>137864.81349999999</v>
      </c>
      <c r="D17" s="147">
        <f>_xlfn.XLOOKUP(A17,'[11]Program 90'!$A$7:$A$64,'[11]Program 90'!$D$7:$D$64,0)</f>
        <v>24222.847731950002</v>
      </c>
      <c r="E17" s="147">
        <f>_xlfn.XLOOKUP(A17,'[11]Program 90'!$A$7:$A$64,'[11]Program 90'!$E$7:$E$64,0)</f>
        <v>65979.774000000005</v>
      </c>
      <c r="F17" s="148">
        <f t="shared" si="0"/>
        <v>0.17570000000000002</v>
      </c>
      <c r="G17" s="149">
        <f t="shared" si="1"/>
        <v>42567.596129032259</v>
      </c>
    </row>
    <row r="18" spans="1:7" x14ac:dyDescent="0.25">
      <c r="A18" s="146" t="s">
        <v>21</v>
      </c>
      <c r="B18" s="147">
        <f>_xlfn.XLOOKUP(A18,'[11]Program 90'!$A$7:$A$64,'[11]Program 90'!$B$7:$B$64,0)</f>
        <v>13</v>
      </c>
      <c r="C18" s="147">
        <f>_xlfn.XLOOKUP(A18,'[11]Program 90'!$A$7:$A$64,'[11]Program 90'!$C$7:$C$64,0)</f>
        <v>973623.40060000005</v>
      </c>
      <c r="D18" s="147">
        <f>_xlfn.XLOOKUP(A18,'[11]Program 90'!$A$7:$A$64,'[11]Program 90'!$D$7:$D$64,0)</f>
        <v>417657.09182948794</v>
      </c>
      <c r="E18" s="147">
        <f>_xlfn.XLOOKUP(A18,'[11]Program 90'!$A$7:$A$64,'[11]Program 90'!$E$7:$E$64,0)</f>
        <v>250874.11999999997</v>
      </c>
      <c r="F18" s="148">
        <f t="shared" si="0"/>
        <v>0.42897191210904007</v>
      </c>
      <c r="G18" s="149">
        <f t="shared" si="1"/>
        <v>19298.009230769228</v>
      </c>
    </row>
    <row r="19" spans="1:7" x14ac:dyDescent="0.25">
      <c r="A19" s="146" t="s">
        <v>22</v>
      </c>
      <c r="B19" s="147">
        <f>_xlfn.XLOOKUP(A19,'[11]Program 90'!$A$7:$A$64,'[11]Program 90'!$B$7:$B$64,0)</f>
        <v>25.4</v>
      </c>
      <c r="C19" s="147">
        <f>_xlfn.XLOOKUP(A19,'[11]Program 90'!$A$7:$A$64,'[11]Program 90'!$C$7:$C$64,0)</f>
        <v>1846746.7273320328</v>
      </c>
      <c r="D19" s="147">
        <f>_xlfn.XLOOKUP(A19,'[11]Program 90'!$A$7:$A$64,'[11]Program 90'!$D$7:$D$64,0)</f>
        <v>424540.66960059456</v>
      </c>
      <c r="E19" s="147">
        <f>_xlfn.XLOOKUP(A19,'[11]Program 90'!$A$7:$A$64,'[11]Program 90'!$E$7:$E$64,0)</f>
        <v>249532.35999999993</v>
      </c>
      <c r="F19" s="148">
        <f t="shared" si="0"/>
        <v>0.22988570295934521</v>
      </c>
      <c r="G19" s="149">
        <f t="shared" si="1"/>
        <v>9824.10866141732</v>
      </c>
    </row>
    <row r="20" spans="1:7" x14ac:dyDescent="0.25">
      <c r="A20" s="146" t="s">
        <v>10</v>
      </c>
      <c r="B20" s="147">
        <f>_xlfn.XLOOKUP(A20,'[11]Program 90'!$A$7:$A$64,'[11]Program 90'!$B$7:$B$64,0)</f>
        <v>3.2399999999999998</v>
      </c>
      <c r="C20" s="147">
        <f>_xlfn.XLOOKUP(A20,'[11]Program 90'!$A$7:$A$64,'[11]Program 90'!$C$7:$C$64,0)</f>
        <v>232096.6</v>
      </c>
      <c r="D20" s="147">
        <f>_xlfn.XLOOKUP(A20,'[11]Program 90'!$A$7:$A$64,'[11]Program 90'!$D$7:$D$64,0)</f>
        <v>43635.5717</v>
      </c>
      <c r="E20" s="147">
        <f>_xlfn.XLOOKUP(A20,'[11]Program 90'!$A$7:$A$64,'[11]Program 90'!$E$7:$E$64,0)</f>
        <v>50574.960000000006</v>
      </c>
      <c r="F20" s="148">
        <f t="shared" si="0"/>
        <v>0.18800607893437474</v>
      </c>
      <c r="G20" s="149">
        <f t="shared" si="1"/>
        <v>15609.555555555558</v>
      </c>
    </row>
    <row r="21" spans="1:7" x14ac:dyDescent="0.25">
      <c r="A21" s="146" t="s">
        <v>43</v>
      </c>
      <c r="B21" s="147">
        <f>_xlfn.XLOOKUP(A21,'[11]Program 90'!$A$7:$A$64,'[11]Program 90'!$B$7:$B$64,0)</f>
        <v>85</v>
      </c>
      <c r="C21" s="147">
        <f>_xlfn.XLOOKUP(A21,'[11]Program 90'!$A$7:$A$64,'[11]Program 90'!$C$7:$C$64,0)</f>
        <v>7703788.4670772608</v>
      </c>
      <c r="D21" s="147">
        <f>_xlfn.XLOOKUP(A21,'[11]Program 90'!$A$7:$A$64,'[11]Program 90'!$D$7:$D$64,0)</f>
        <v>3863650.4761974444</v>
      </c>
      <c r="E21" s="147">
        <f>_xlfn.XLOOKUP(A21,'[11]Program 90'!$A$7:$A$64,'[11]Program 90'!$E$7:$E$64,0)</f>
        <v>1763742.8767857116</v>
      </c>
      <c r="F21" s="148">
        <f t="shared" si="0"/>
        <v>0.50152603393889317</v>
      </c>
      <c r="G21" s="149">
        <f t="shared" si="1"/>
        <v>20749.91619747896</v>
      </c>
    </row>
    <row r="22" spans="1:7" x14ac:dyDescent="0.25">
      <c r="A22" s="146" t="s">
        <v>23</v>
      </c>
      <c r="B22" s="147">
        <f>_xlfn.XLOOKUP(A22,'[11]Program 90'!$A$7:$A$64,'[11]Program 90'!$B$7:$B$64,0)</f>
        <v>15</v>
      </c>
      <c r="C22" s="147">
        <f>_xlfn.XLOOKUP(A22,'[11]Program 90'!$A$7:$A$64,'[11]Program 90'!$C$7:$C$64,0)</f>
        <v>1266925.5399999998</v>
      </c>
      <c r="D22" s="147">
        <f>_xlfn.XLOOKUP(A22,'[11]Program 90'!$A$7:$A$64,'[11]Program 90'!$D$7:$D$64,0)</f>
        <v>209929.56197800001</v>
      </c>
      <c r="E22" s="147">
        <f>_xlfn.XLOOKUP(A22,'[11]Program 90'!$A$7:$A$64,'[11]Program 90'!$E$7:$E$64,0)</f>
        <v>305524.93</v>
      </c>
      <c r="F22" s="148">
        <f t="shared" si="0"/>
        <v>0.16570000000000004</v>
      </c>
      <c r="G22" s="149">
        <f t="shared" si="1"/>
        <v>20368.328666666665</v>
      </c>
    </row>
    <row r="23" spans="1:7" x14ac:dyDescent="0.25">
      <c r="A23" s="146" t="s">
        <v>24</v>
      </c>
      <c r="B23" s="147">
        <f>_xlfn.XLOOKUP(A23,'[11]Program 90'!$A$7:$A$64,'[11]Program 90'!$B$7:$B$64,0)</f>
        <v>4</v>
      </c>
      <c r="C23" s="147">
        <f>_xlfn.XLOOKUP(A23,'[11]Program 90'!$A$7:$A$64,'[11]Program 90'!$C$7:$C$64,0)</f>
        <v>342357.51</v>
      </c>
      <c r="D23" s="147">
        <f>_xlfn.XLOOKUP(A23,'[11]Program 90'!$A$7:$A$64,'[11]Program 90'!$D$7:$D$64,0)</f>
        <v>110790.3138111</v>
      </c>
      <c r="E23" s="147">
        <f>_xlfn.XLOOKUP(A23,'[11]Program 90'!$A$7:$A$64,'[11]Program 90'!$E$7:$E$64,0)</f>
        <v>55139.44</v>
      </c>
      <c r="F23" s="148">
        <f t="shared" si="0"/>
        <v>0.32361000000000001</v>
      </c>
      <c r="G23" s="149">
        <f t="shared" si="1"/>
        <v>13784.86</v>
      </c>
    </row>
    <row r="24" spans="1:7" x14ac:dyDescent="0.25">
      <c r="A24" s="146" t="s">
        <v>11</v>
      </c>
      <c r="B24" s="147">
        <f>_xlfn.XLOOKUP(A24,'[11]Program 90'!$A$7:$A$64,'[11]Program 90'!$B$7:$B$64,0)</f>
        <v>3</v>
      </c>
      <c r="C24" s="147">
        <f>_xlfn.XLOOKUP(A24,'[11]Program 90'!$A$7:$A$64,'[11]Program 90'!$C$7:$C$64,0)</f>
        <v>255512.29000000004</v>
      </c>
      <c r="D24" s="147">
        <f>_xlfn.XLOOKUP(A24,'[11]Program 90'!$A$7:$A$64,'[11]Program 90'!$D$7:$D$64,0)</f>
        <v>46247.724489999993</v>
      </c>
      <c r="E24" s="147">
        <f>_xlfn.XLOOKUP(A24,'[11]Program 90'!$A$7:$A$64,'[11]Program 90'!$E$7:$E$64,0)</f>
        <v>44230.080000000002</v>
      </c>
      <c r="F24" s="148">
        <f t="shared" si="0"/>
        <v>0.18099999999999994</v>
      </c>
      <c r="G24" s="149">
        <f t="shared" si="1"/>
        <v>14743.36</v>
      </c>
    </row>
    <row r="25" spans="1:7" x14ac:dyDescent="0.25">
      <c r="A25" s="146" t="s">
        <v>54</v>
      </c>
      <c r="B25" s="147">
        <f>_xlfn.XLOOKUP(A25,'[11]Program 90'!$A$7:$A$64,'[11]Program 90'!$B$7:$B$64,0)</f>
        <v>768</v>
      </c>
      <c r="C25" s="147">
        <f>_xlfn.XLOOKUP(A25,'[11]Program 90'!$A$7:$A$64,'[11]Program 90'!$C$7:$C$64,0)</f>
        <v>81643152.988432631</v>
      </c>
      <c r="D25" s="147">
        <f>_xlfn.XLOOKUP(A25,'[11]Program 90'!$A$7:$A$64,'[11]Program 90'!$D$7:$D$64,0)</f>
        <v>34923071.920388833</v>
      </c>
      <c r="E25" s="147">
        <f>_xlfn.XLOOKUP(A25,'[11]Program 90'!$A$7:$A$64,'[11]Program 90'!$E$7:$E$64,0)</f>
        <v>18449378.395845838</v>
      </c>
      <c r="F25" s="148">
        <f t="shared" si="0"/>
        <v>0.42775261172650703</v>
      </c>
      <c r="G25" s="149">
        <f t="shared" si="1"/>
        <v>24022.628119590936</v>
      </c>
    </row>
    <row r="26" spans="1:7" x14ac:dyDescent="0.25">
      <c r="A26" s="146" t="s">
        <v>25</v>
      </c>
      <c r="B26" s="147">
        <f>_xlfn.XLOOKUP(A26,'[11]Program 90'!$A$7:$A$64,'[11]Program 90'!$B$7:$B$64,0)</f>
        <v>14</v>
      </c>
      <c r="C26" s="147">
        <f>_xlfn.XLOOKUP(A26,'[11]Program 90'!$A$7:$A$64,'[11]Program 90'!$C$7:$C$64,0)</f>
        <v>1182220.1000000001</v>
      </c>
      <c r="D26" s="147">
        <f>_xlfn.XLOOKUP(A26,'[11]Program 90'!$A$7:$A$64,'[11]Program 90'!$D$7:$D$64,0)</f>
        <v>513943.40563299996</v>
      </c>
      <c r="E26" s="147">
        <f>_xlfn.XLOOKUP(A26,'[11]Program 90'!$A$7:$A$64,'[11]Program 90'!$E$7:$E$64,0)</f>
        <v>164108</v>
      </c>
      <c r="F26" s="148">
        <f t="shared" si="0"/>
        <v>0.43472734529974572</v>
      </c>
      <c r="G26" s="149">
        <f t="shared" si="1"/>
        <v>11722</v>
      </c>
    </row>
    <row r="27" spans="1:7" x14ac:dyDescent="0.25">
      <c r="A27" s="146" t="s">
        <v>26</v>
      </c>
      <c r="B27" s="147">
        <f>_xlfn.XLOOKUP(A27,'[11]Program 90'!$A$7:$A$64,'[11]Program 90'!$B$7:$B$64,0)</f>
        <v>21.25</v>
      </c>
      <c r="C27" s="147">
        <f>_xlfn.XLOOKUP(A27,'[11]Program 90'!$A$7:$A$64,'[11]Program 90'!$C$7:$C$64,0)</f>
        <v>2349602.5761600002</v>
      </c>
      <c r="D27" s="147">
        <f>_xlfn.XLOOKUP(A27,'[11]Program 90'!$A$7:$A$64,'[11]Program 90'!$D$7:$D$64,0)</f>
        <v>534409.82629944</v>
      </c>
      <c r="E27" s="147">
        <f>_xlfn.XLOOKUP(A27,'[11]Program 90'!$A$7:$A$64,'[11]Program 90'!$E$7:$E$64,0)</f>
        <v>494237.81250000006</v>
      </c>
      <c r="F27" s="148">
        <f t="shared" si="0"/>
        <v>0.22744690175341742</v>
      </c>
      <c r="G27" s="149">
        <f t="shared" si="1"/>
        <v>23258.250000000004</v>
      </c>
    </row>
    <row r="28" spans="1:7" x14ac:dyDescent="0.25">
      <c r="A28" s="146" t="s">
        <v>12</v>
      </c>
      <c r="B28" s="147">
        <f>_xlfn.XLOOKUP(A28,'[11]Program 90'!$A$7:$A$64,'[11]Program 90'!$B$7:$B$64,0)</f>
        <v>3.46</v>
      </c>
      <c r="C28" s="147">
        <f>_xlfn.XLOOKUP(A28,'[11]Program 90'!$A$7:$A$64,'[11]Program 90'!$C$7:$C$64,0)</f>
        <v>255410.87959999999</v>
      </c>
      <c r="D28" s="147">
        <f>_xlfn.XLOOKUP(A28,'[11]Program 90'!$A$7:$A$64,'[11]Program 90'!$D$7:$D$64,0)</f>
        <v>74206.230754200005</v>
      </c>
      <c r="E28" s="147">
        <f>_xlfn.XLOOKUP(A28,'[11]Program 90'!$A$7:$A$64,'[11]Program 90'!$E$7:$E$64,0)</f>
        <v>51390.420000000006</v>
      </c>
      <c r="F28" s="148">
        <f t="shared" si="0"/>
        <v>0.29053668688825895</v>
      </c>
      <c r="G28" s="149">
        <f t="shared" si="1"/>
        <v>14852.722543352604</v>
      </c>
    </row>
    <row r="29" spans="1:7" x14ac:dyDescent="0.25">
      <c r="A29" s="146" t="s">
        <v>27</v>
      </c>
      <c r="B29" s="147">
        <f>_xlfn.XLOOKUP(A29,'[11]Program 90'!$A$7:$A$64,'[11]Program 90'!$B$7:$B$64,0)</f>
        <v>9</v>
      </c>
      <c r="C29" s="147">
        <f>_xlfn.XLOOKUP(A29,'[11]Program 90'!$A$7:$A$64,'[11]Program 90'!$C$7:$C$64,0)</f>
        <v>870206</v>
      </c>
      <c r="D29" s="147">
        <f>_xlfn.XLOOKUP(A29,'[11]Program 90'!$A$7:$A$64,'[11]Program 90'!$D$7:$D$64,0)</f>
        <v>430355.19075999991</v>
      </c>
      <c r="E29" s="147">
        <f>_xlfn.XLOOKUP(A29,'[11]Program 90'!$A$7:$A$64,'[11]Program 90'!$E$7:$E$64,0)</f>
        <v>117343.75</v>
      </c>
      <c r="F29" s="148">
        <f t="shared" si="0"/>
        <v>0.49454403987101897</v>
      </c>
      <c r="G29" s="149">
        <f t="shared" si="1"/>
        <v>13038.194444444445</v>
      </c>
    </row>
    <row r="30" spans="1:7" x14ac:dyDescent="0.25">
      <c r="A30" s="146" t="s">
        <v>28</v>
      </c>
      <c r="B30" s="147">
        <f>_xlfn.XLOOKUP(A30,'[11]Program 90'!$A$7:$A$64,'[11]Program 90'!$B$7:$B$64,0)</f>
        <v>27</v>
      </c>
      <c r="C30" s="147">
        <f>_xlfn.XLOOKUP(A30,'[11]Program 90'!$A$7:$A$64,'[11]Program 90'!$C$7:$C$64,0)</f>
        <v>2571396.2092000004</v>
      </c>
      <c r="D30" s="147">
        <f>_xlfn.XLOOKUP(A30,'[11]Program 90'!$A$7:$A$64,'[11]Program 90'!$D$7:$D$64,0)</f>
        <v>1318451.6420493601</v>
      </c>
      <c r="E30" s="147">
        <f>_xlfn.XLOOKUP(A30,'[11]Program 90'!$A$7:$A$64,'[11]Program 90'!$E$7:$E$64,0)</f>
        <v>482963.80930000002</v>
      </c>
      <c r="F30" s="148">
        <f t="shared" si="0"/>
        <v>0.51273764709311365</v>
      </c>
      <c r="G30" s="149">
        <f t="shared" si="1"/>
        <v>17887.548492592592</v>
      </c>
    </row>
    <row r="31" spans="1:7" x14ac:dyDescent="0.25">
      <c r="A31" s="146" t="s">
        <v>13</v>
      </c>
      <c r="B31" s="147">
        <f>_xlfn.XLOOKUP(A31,'[11]Program 90'!$A$7:$A$64,'[11]Program 90'!$B$7:$B$64,0)</f>
        <v>1</v>
      </c>
      <c r="C31" s="147">
        <f>_xlfn.XLOOKUP(A31,'[11]Program 90'!$A$7:$A$64,'[11]Program 90'!$C$7:$C$64,0)</f>
        <v>74711.28</v>
      </c>
      <c r="D31" s="147">
        <f>_xlfn.XLOOKUP(A31,'[11]Program 90'!$A$7:$A$64,'[11]Program 90'!$D$7:$D$64,0)</f>
        <v>31490.804520000002</v>
      </c>
      <c r="E31" s="147">
        <f>_xlfn.XLOOKUP(A31,'[11]Program 90'!$A$7:$A$64,'[11]Program 90'!$E$7:$E$64,0)</f>
        <v>21445.439999999999</v>
      </c>
      <c r="F31" s="148">
        <f t="shared" si="0"/>
        <v>0.42150000000000004</v>
      </c>
      <c r="G31" s="149">
        <f t="shared" si="1"/>
        <v>21445.439999999999</v>
      </c>
    </row>
    <row r="32" spans="1:7" x14ac:dyDescent="0.25">
      <c r="A32" s="146" t="s">
        <v>14</v>
      </c>
      <c r="B32" s="147">
        <f>_xlfn.XLOOKUP(A32,'[11]Program 90'!$A$7:$A$64,'[11]Program 90'!$B$7:$B$64,0)</f>
        <v>4</v>
      </c>
      <c r="C32" s="147">
        <f>_xlfn.XLOOKUP(A32,'[11]Program 90'!$A$7:$A$64,'[11]Program 90'!$C$7:$C$64,0)</f>
        <v>391191.76299999998</v>
      </c>
      <c r="D32" s="147">
        <f>_xlfn.XLOOKUP(A32,'[11]Program 90'!$A$7:$A$64,'[11]Program 90'!$D$7:$D$64,0)</f>
        <v>127282.08113450001</v>
      </c>
      <c r="E32" s="147">
        <f>_xlfn.XLOOKUP(A32,'[11]Program 90'!$A$7:$A$64,'[11]Program 90'!$E$7:$E$64,0)</f>
        <v>129071.3</v>
      </c>
      <c r="F32" s="148">
        <f t="shared" si="0"/>
        <v>0.3253700439865857</v>
      </c>
      <c r="G32" s="149">
        <f t="shared" si="1"/>
        <v>32267.825000000001</v>
      </c>
    </row>
    <row r="33" spans="1:7" x14ac:dyDescent="0.25">
      <c r="A33" s="146" t="s">
        <v>44</v>
      </c>
      <c r="B33" s="147">
        <f>_xlfn.XLOOKUP(A33,'[11]Program 90'!$A$7:$A$64,'[11]Program 90'!$B$7:$B$64,0)</f>
        <v>34</v>
      </c>
      <c r="C33" s="147">
        <f>_xlfn.XLOOKUP(A33,'[11]Program 90'!$A$7:$A$64,'[11]Program 90'!$C$7:$C$64,0)</f>
        <v>3565289.5200000005</v>
      </c>
      <c r="D33" s="147">
        <f>_xlfn.XLOOKUP(A33,'[11]Program 90'!$A$7:$A$64,'[11]Program 90'!$D$7:$D$64,0)</f>
        <v>599696.21628000005</v>
      </c>
      <c r="E33" s="147">
        <f>_xlfn.XLOOKUP(A33,'[11]Program 90'!$A$7:$A$64,'[11]Program 90'!$E$7:$E$64,0)</f>
        <v>994003.30415076879</v>
      </c>
      <c r="F33" s="148">
        <f t="shared" si="0"/>
        <v>0.16820407232453874</v>
      </c>
      <c r="G33" s="149">
        <f t="shared" si="1"/>
        <v>29235.391298552022</v>
      </c>
    </row>
    <row r="34" spans="1:7" x14ac:dyDescent="0.25">
      <c r="A34" s="146" t="s">
        <v>29</v>
      </c>
      <c r="B34" s="147">
        <f>_xlfn.XLOOKUP(A34,'[11]Program 90'!$A$7:$A$64,'[11]Program 90'!$B$7:$B$64,0)</f>
        <v>11.5</v>
      </c>
      <c r="C34" s="147">
        <f>_xlfn.XLOOKUP(A34,'[11]Program 90'!$A$7:$A$64,'[11]Program 90'!$C$7:$C$64,0)</f>
        <v>1284380</v>
      </c>
      <c r="D34" s="147">
        <f>_xlfn.XLOOKUP(A34,'[11]Program 90'!$A$7:$A$64,'[11]Program 90'!$D$7:$D$64,0)</f>
        <v>350654.03040000005</v>
      </c>
      <c r="E34" s="147">
        <f>_xlfn.XLOOKUP(A34,'[11]Program 90'!$A$7:$A$64,'[11]Program 90'!$E$7:$E$64,0)</f>
        <v>278786.5</v>
      </c>
      <c r="F34" s="148">
        <f t="shared" si="0"/>
        <v>0.27301424064529195</v>
      </c>
      <c r="G34" s="149">
        <f t="shared" si="1"/>
        <v>24242.304347826088</v>
      </c>
    </row>
    <row r="35" spans="1:7" x14ac:dyDescent="0.25">
      <c r="A35" s="146" t="s">
        <v>30</v>
      </c>
      <c r="B35" s="147">
        <f>_xlfn.XLOOKUP(A35,'[11]Program 90'!$A$7:$A$64,'[11]Program 90'!$B$7:$B$64,0)</f>
        <v>8</v>
      </c>
      <c r="C35" s="147">
        <f>_xlfn.XLOOKUP(A35,'[11]Program 90'!$A$7:$A$64,'[11]Program 90'!$C$7:$C$64,0)</f>
        <v>684566.9959973559</v>
      </c>
      <c r="D35" s="147">
        <f>_xlfn.XLOOKUP(A35,'[11]Program 90'!$A$7:$A$64,'[11]Program 90'!$D$7:$D$64,0)</f>
        <v>352346.63283983909</v>
      </c>
      <c r="E35" s="147">
        <f>_xlfn.XLOOKUP(A35,'[11]Program 90'!$A$7:$A$64,'[11]Program 90'!$E$7:$E$64,0)</f>
        <v>233166.07999999999</v>
      </c>
      <c r="F35" s="148">
        <f t="shared" si="0"/>
        <v>0.51470000000000005</v>
      </c>
      <c r="G35" s="149">
        <f t="shared" si="1"/>
        <v>29145.759999999998</v>
      </c>
    </row>
    <row r="36" spans="1:7" x14ac:dyDescent="0.25">
      <c r="A36" s="146" t="s">
        <v>55</v>
      </c>
      <c r="B36" s="147">
        <f>_xlfn.XLOOKUP(A36,'[11]Program 90'!$A$7:$A$64,'[11]Program 90'!$B$7:$B$64,0)</f>
        <v>194.58716475095787</v>
      </c>
      <c r="C36" s="147">
        <f>_xlfn.XLOOKUP(A36,'[11]Program 90'!$A$7:$A$64,'[11]Program 90'!$C$7:$C$64,0)</f>
        <v>19017498.14056002</v>
      </c>
      <c r="D36" s="147">
        <f>_xlfn.XLOOKUP(A36,'[11]Program 90'!$A$7:$A$64,'[11]Program 90'!$D$7:$D$64,0)</f>
        <v>7496227.9553589337</v>
      </c>
      <c r="E36" s="147">
        <f>_xlfn.XLOOKUP(A36,'[11]Program 90'!$A$7:$A$64,'[11]Program 90'!$E$7:$E$64,0)</f>
        <v>3238337.2000224134</v>
      </c>
      <c r="F36" s="148">
        <f t="shared" si="0"/>
        <v>0.39417529582249183</v>
      </c>
      <c r="G36" s="149">
        <f t="shared" si="1"/>
        <v>16642.09046967201</v>
      </c>
    </row>
    <row r="37" spans="1:7" x14ac:dyDescent="0.25">
      <c r="A37" s="146" t="s">
        <v>31</v>
      </c>
      <c r="B37" s="147">
        <f>_xlfn.XLOOKUP(A37,'[11]Program 90'!$A$7:$A$64,'[11]Program 90'!$B$7:$B$64,0)</f>
        <v>30.75</v>
      </c>
      <c r="C37" s="147">
        <f>_xlfn.XLOOKUP(A37,'[11]Program 90'!$A$7:$A$64,'[11]Program 90'!$C$7:$C$64,0)</f>
        <v>2863022.5</v>
      </c>
      <c r="D37" s="147">
        <f>_xlfn.XLOOKUP(A37,'[11]Program 90'!$A$7:$A$64,'[11]Program 90'!$D$7:$D$64,0)</f>
        <v>1073633.4374999998</v>
      </c>
      <c r="E37" s="147">
        <f>_xlfn.XLOOKUP(A37,'[11]Program 90'!$A$7:$A$64,'[11]Program 90'!$E$7:$E$64,0)</f>
        <v>935366</v>
      </c>
      <c r="F37" s="148">
        <f t="shared" si="0"/>
        <v>0.37499999999999994</v>
      </c>
      <c r="G37" s="149">
        <f t="shared" si="1"/>
        <v>30418.406504065042</v>
      </c>
    </row>
    <row r="38" spans="1:7" x14ac:dyDescent="0.25">
      <c r="A38" s="146" t="s">
        <v>15</v>
      </c>
      <c r="B38" s="147">
        <f>_xlfn.XLOOKUP(A38,'[11]Program 90'!$A$7:$A$64,'[11]Program 90'!$B$7:$B$64,0)</f>
        <v>1.8</v>
      </c>
      <c r="C38" s="147">
        <f>_xlfn.XLOOKUP(A38,'[11]Program 90'!$A$7:$A$64,'[11]Program 90'!$C$7:$C$64,0)</f>
        <v>135401.76</v>
      </c>
      <c r="D38" s="147">
        <f>_xlfn.XLOOKUP(A38,'[11]Program 90'!$A$7:$A$64,'[11]Program 90'!$D$7:$D$64,0)</f>
        <v>56746.877616000012</v>
      </c>
      <c r="E38" s="147">
        <f>_xlfn.XLOOKUP(A38,'[11]Program 90'!$A$7:$A$64,'[11]Program 90'!$E$7:$E$64,0)</f>
        <v>58238.100000000006</v>
      </c>
      <c r="F38" s="148">
        <f t="shared" si="0"/>
        <v>0.41910000000000008</v>
      </c>
      <c r="G38" s="149">
        <f t="shared" si="1"/>
        <v>32354.500000000004</v>
      </c>
    </row>
    <row r="39" spans="1:7" x14ac:dyDescent="0.25">
      <c r="A39" s="146" t="s">
        <v>56</v>
      </c>
      <c r="B39" s="147">
        <f>_xlfn.XLOOKUP(A39,'[11]Program 90'!$A$7:$A$64,'[11]Program 90'!$B$7:$B$64,0)</f>
        <v>107.26</v>
      </c>
      <c r="C39" s="147">
        <f>_xlfn.XLOOKUP(A39,'[11]Program 90'!$A$7:$A$64,'[11]Program 90'!$C$7:$C$64,0)</f>
        <v>12109290.755639996</v>
      </c>
      <c r="D39" s="147">
        <f>_xlfn.XLOOKUP(A39,'[11]Program 90'!$A$7:$A$64,'[11]Program 90'!$D$7:$D$64,0)</f>
        <v>4782772.0171695091</v>
      </c>
      <c r="E39" s="147">
        <f>_xlfn.XLOOKUP(A39,'[11]Program 90'!$A$7:$A$64,'[11]Program 90'!$E$7:$E$64,0)</f>
        <v>2617595.071200002</v>
      </c>
      <c r="F39" s="148">
        <f t="shared" si="0"/>
        <v>0.39496714660533655</v>
      </c>
      <c r="G39" s="149">
        <f t="shared" si="1"/>
        <v>24404.205399962724</v>
      </c>
    </row>
    <row r="40" spans="1:7" x14ac:dyDescent="0.25">
      <c r="A40" s="146" t="s">
        <v>57</v>
      </c>
      <c r="B40" s="147">
        <f>_xlfn.XLOOKUP(A40,'[11]Program 90'!$A$7:$A$64,'[11]Program 90'!$B$7:$B$64,0)</f>
        <v>100.46</v>
      </c>
      <c r="C40" s="147">
        <f>_xlfn.XLOOKUP(A40,'[11]Program 90'!$A$7:$A$64,'[11]Program 90'!$C$7:$C$64,0)</f>
        <v>11578791.495052796</v>
      </c>
      <c r="D40" s="147">
        <f>_xlfn.XLOOKUP(A40,'[11]Program 90'!$A$7:$A$64,'[11]Program 90'!$D$7:$D$64,0)</f>
        <v>4958806.7257337589</v>
      </c>
      <c r="E40" s="147">
        <f>_xlfn.XLOOKUP(A40,'[11]Program 90'!$A$7:$A$64,'[11]Program 90'!$E$7:$E$64,0)</f>
        <v>2311486.1115095192</v>
      </c>
      <c r="F40" s="148">
        <f t="shared" si="0"/>
        <v>0.42826634609082304</v>
      </c>
      <c r="G40" s="149">
        <f t="shared" si="1"/>
        <v>23009.019624821016</v>
      </c>
    </row>
    <row r="41" spans="1:7" x14ac:dyDescent="0.25">
      <c r="A41" s="146" t="s">
        <v>16</v>
      </c>
      <c r="B41" s="147">
        <f>_xlfn.XLOOKUP(A41,'[11]Program 90'!$A$7:$A$64,'[11]Program 90'!$B$7:$B$64,0)</f>
        <v>6</v>
      </c>
      <c r="C41" s="147">
        <f>_xlfn.XLOOKUP(A41,'[11]Program 90'!$A$7:$A$64,'[11]Program 90'!$C$7:$C$64,0)</f>
        <v>692110.54700000002</v>
      </c>
      <c r="D41" s="147">
        <f>_xlfn.XLOOKUP(A41,'[11]Program 90'!$A$7:$A$64,'[11]Program 90'!$D$7:$D$64,0)</f>
        <v>120704.07939679999</v>
      </c>
      <c r="E41" s="147">
        <f>_xlfn.XLOOKUP(A41,'[11]Program 90'!$A$7:$A$64,'[11]Program 90'!$E$7:$E$64,0)</f>
        <v>128751.84999999998</v>
      </c>
      <c r="F41" s="148">
        <f t="shared" si="0"/>
        <v>0.17439999999999997</v>
      </c>
      <c r="G41" s="149">
        <f t="shared" si="1"/>
        <v>21458.641666666663</v>
      </c>
    </row>
    <row r="42" spans="1:7" x14ac:dyDescent="0.25">
      <c r="A42" s="146" t="s">
        <v>58</v>
      </c>
      <c r="B42" s="147">
        <f>_xlfn.XLOOKUP(A42,'[11]Program 90'!$A$7:$A$64,'[11]Program 90'!$B$7:$B$64,0)</f>
        <v>142.31</v>
      </c>
      <c r="C42" s="147">
        <f>_xlfn.XLOOKUP(A42,'[11]Program 90'!$A$7:$A$64,'[11]Program 90'!$C$7:$C$64,0)</f>
        <v>14033154.458000008</v>
      </c>
      <c r="D42" s="147">
        <f>_xlfn.XLOOKUP(A42,'[11]Program 90'!$A$7:$A$64,'[11]Program 90'!$D$7:$D$64,0)</f>
        <v>4557852.0414582016</v>
      </c>
      <c r="E42" s="147">
        <f>_xlfn.XLOOKUP(A42,'[11]Program 90'!$A$7:$A$64,'[11]Program 90'!$E$7:$E$64,0)</f>
        <v>2496730.082448055</v>
      </c>
      <c r="F42" s="148">
        <f t="shared" si="0"/>
        <v>0.32479169634307453</v>
      </c>
      <c r="G42" s="149">
        <f t="shared" si="1"/>
        <v>17544.305266306339</v>
      </c>
    </row>
    <row r="43" spans="1:7" x14ac:dyDescent="0.25">
      <c r="A43" s="146" t="s">
        <v>59</v>
      </c>
      <c r="B43" s="147">
        <f>_xlfn.XLOOKUP(A43,'[11]Program 90'!$A$7:$A$64,'[11]Program 90'!$B$7:$B$64,0)</f>
        <v>162.05999999999992</v>
      </c>
      <c r="C43" s="147">
        <f>_xlfn.XLOOKUP(A43,'[11]Program 90'!$A$7:$A$64,'[11]Program 90'!$C$7:$C$64,0)</f>
        <v>16777491.762799989</v>
      </c>
      <c r="D43" s="147">
        <f>_xlfn.XLOOKUP(A43,'[11]Program 90'!$A$7:$A$64,'[11]Program 90'!$D$7:$D$64,0)</f>
        <v>8862722.556292031</v>
      </c>
      <c r="E43" s="147">
        <f>_xlfn.XLOOKUP(A43,'[11]Program 90'!$A$7:$A$64,'[11]Program 90'!$E$7:$E$64,0)</f>
        <v>4187932.3568669758</v>
      </c>
      <c r="F43" s="148">
        <f t="shared" si="0"/>
        <v>0.52825074698847208</v>
      </c>
      <c r="G43" s="149">
        <f t="shared" si="1"/>
        <v>25841.863241188312</v>
      </c>
    </row>
    <row r="44" spans="1:7" x14ac:dyDescent="0.25">
      <c r="A44" s="146" t="s">
        <v>60</v>
      </c>
      <c r="B44" s="147">
        <f>_xlfn.XLOOKUP(A44,'[11]Program 90'!$A$7:$A$64,'[11]Program 90'!$B$7:$B$64,0)</f>
        <v>40</v>
      </c>
      <c r="C44" s="147">
        <f>_xlfn.XLOOKUP(A44,'[11]Program 90'!$A$7:$A$64,'[11]Program 90'!$C$7:$C$64,0)</f>
        <v>4943393.0899999989</v>
      </c>
      <c r="D44" s="147">
        <f>_xlfn.XLOOKUP(A44,'[11]Program 90'!$A$7:$A$64,'[11]Program 90'!$D$7:$D$64,0)</f>
        <v>1584995.6139350003</v>
      </c>
      <c r="E44" s="147">
        <f>_xlfn.XLOOKUP(A44,'[11]Program 90'!$A$7:$A$64,'[11]Program 90'!$E$7:$E$64,0)</f>
        <v>1563032.7599999991</v>
      </c>
      <c r="F44" s="148">
        <f t="shared" si="0"/>
        <v>0.32062908716308469</v>
      </c>
      <c r="G44" s="149">
        <f t="shared" si="1"/>
        <v>39075.818999999974</v>
      </c>
    </row>
    <row r="45" spans="1:7" x14ac:dyDescent="0.25">
      <c r="A45" s="146" t="s">
        <v>45</v>
      </c>
      <c r="B45" s="147">
        <f>_xlfn.XLOOKUP(A45,'[11]Program 90'!$A$7:$A$64,'[11]Program 90'!$B$7:$B$64,0)</f>
        <v>34.935000000000002</v>
      </c>
      <c r="C45" s="147">
        <f>_xlfn.XLOOKUP(A45,'[11]Program 90'!$A$7:$A$64,'[11]Program 90'!$C$7:$C$64,0)</f>
        <v>3583338.2064000005</v>
      </c>
      <c r="D45" s="147">
        <f>_xlfn.XLOOKUP(A45,'[11]Program 90'!$A$7:$A$64,'[11]Program 90'!$D$7:$D$64,0)</f>
        <v>1931319.057397532</v>
      </c>
      <c r="E45" s="147">
        <f>_xlfn.XLOOKUP(A45,'[11]Program 90'!$A$7:$A$64,'[11]Program 90'!$E$7:$E$64,0)</f>
        <v>518757.97979999997</v>
      </c>
      <c r="F45" s="148">
        <f t="shared" si="0"/>
        <v>0.5389720272421149</v>
      </c>
      <c r="G45" s="149">
        <f t="shared" si="1"/>
        <v>14849.23371404036</v>
      </c>
    </row>
    <row r="46" spans="1:7" x14ac:dyDescent="0.25">
      <c r="A46" s="146" t="s">
        <v>32</v>
      </c>
      <c r="B46" s="147">
        <f>_xlfn.XLOOKUP(A46,'[11]Program 90'!$A$7:$A$64,'[11]Program 90'!$B$7:$B$64,0)</f>
        <v>20</v>
      </c>
      <c r="C46" s="147">
        <f>_xlfn.XLOOKUP(A46,'[11]Program 90'!$A$7:$A$64,'[11]Program 90'!$C$7:$C$64,0)</f>
        <v>2285092</v>
      </c>
      <c r="D46" s="147">
        <f>_xlfn.XLOOKUP(A46,'[11]Program 90'!$A$7:$A$64,'[11]Program 90'!$D$7:$D$64,0)</f>
        <v>1181977.7671999999</v>
      </c>
      <c r="E46" s="147">
        <f>_xlfn.XLOOKUP(A46,'[11]Program 90'!$A$7:$A$64,'[11]Program 90'!$E$7:$E$64,0)</f>
        <v>342011.67999999988</v>
      </c>
      <c r="F46" s="148">
        <f t="shared" si="0"/>
        <v>0.51725609612216916</v>
      </c>
      <c r="G46" s="149">
        <f t="shared" si="1"/>
        <v>17100.583999999995</v>
      </c>
    </row>
    <row r="47" spans="1:7" x14ac:dyDescent="0.25">
      <c r="A47" s="146" t="s">
        <v>46</v>
      </c>
      <c r="B47" s="147">
        <f>_xlfn.XLOOKUP(A47,'[11]Program 90'!$A$7:$A$64,'[11]Program 90'!$B$7:$B$64,0)</f>
        <v>65.95</v>
      </c>
      <c r="C47" s="147">
        <f>_xlfn.XLOOKUP(A47,'[11]Program 90'!$A$7:$A$64,'[11]Program 90'!$C$7:$C$64,0)</f>
        <v>7474751.1576470602</v>
      </c>
      <c r="D47" s="147">
        <f>_xlfn.XLOOKUP(A47,'[11]Program 90'!$A$7:$A$64,'[11]Program 90'!$D$7:$D$64,0)</f>
        <v>2506271.1586230588</v>
      </c>
      <c r="E47" s="147">
        <f>_xlfn.XLOOKUP(A47,'[11]Program 90'!$A$7:$A$64,'[11]Program 90'!$E$7:$E$64,0)</f>
        <v>1844621.5</v>
      </c>
      <c r="F47" s="148">
        <f t="shared" si="0"/>
        <v>0.33529827358319653</v>
      </c>
      <c r="G47" s="149">
        <f t="shared" si="1"/>
        <v>27970</v>
      </c>
    </row>
    <row r="48" spans="1:7" x14ac:dyDescent="0.25">
      <c r="A48" s="146" t="s">
        <v>47</v>
      </c>
      <c r="B48" s="147">
        <f>_xlfn.XLOOKUP(A48,'[11]Program 90'!$A$7:$A$64,'[11]Program 90'!$B$7:$B$64,0)</f>
        <v>32.075000000000003</v>
      </c>
      <c r="C48" s="147">
        <f>_xlfn.XLOOKUP(A48,'[11]Program 90'!$A$7:$A$64,'[11]Program 90'!$C$7:$C$64,0)</f>
        <v>3383042.0921000009</v>
      </c>
      <c r="D48" s="147">
        <f>_xlfn.XLOOKUP(A48,'[11]Program 90'!$A$7:$A$64,'[11]Program 90'!$D$7:$D$64,0)</f>
        <v>1439943.1202940969</v>
      </c>
      <c r="E48" s="147">
        <f>_xlfn.XLOOKUP(A48,'[11]Program 90'!$A$7:$A$64,'[11]Program 90'!$E$7:$E$64,0)</f>
        <v>592819.99499999988</v>
      </c>
      <c r="F48" s="148">
        <f t="shared" si="0"/>
        <v>0.42563559101337156</v>
      </c>
      <c r="G48" s="149">
        <f t="shared" si="1"/>
        <v>18482.306936866713</v>
      </c>
    </row>
    <row r="49" spans="1:7" x14ac:dyDescent="0.25">
      <c r="A49" s="146" t="s">
        <v>61</v>
      </c>
      <c r="B49" s="147">
        <f>_xlfn.XLOOKUP(A49,'[11]Program 90'!$A$7:$A$64,'[11]Program 90'!$B$7:$B$64,0)</f>
        <v>87.600000000000009</v>
      </c>
      <c r="C49" s="147">
        <f>_xlfn.XLOOKUP(A49,'[11]Program 90'!$A$7:$A$64,'[11]Program 90'!$C$7:$C$64,0)</f>
        <v>10744839.034672637</v>
      </c>
      <c r="D49" s="147">
        <f>_xlfn.XLOOKUP(A49,'[11]Program 90'!$A$7:$A$64,'[11]Program 90'!$D$7:$D$64,0)</f>
        <v>3897158.7593451152</v>
      </c>
      <c r="E49" s="147">
        <f>_xlfn.XLOOKUP(A49,'[11]Program 90'!$A$7:$A$64,'[11]Program 90'!$E$7:$E$64,0)</f>
        <v>2166027.7219331656</v>
      </c>
      <c r="F49" s="148">
        <f t="shared" si="0"/>
        <v>0.36270052503991279</v>
      </c>
      <c r="G49" s="149">
        <f t="shared" si="1"/>
        <v>24726.343857684536</v>
      </c>
    </row>
    <row r="50" spans="1:7" x14ac:dyDescent="0.25">
      <c r="A50" s="146" t="s">
        <v>33</v>
      </c>
      <c r="B50" s="147">
        <f>_xlfn.XLOOKUP(A50,'[11]Program 90'!$A$7:$A$64,'[11]Program 90'!$B$7:$B$64,0)</f>
        <v>16.192307692307693</v>
      </c>
      <c r="C50" s="147">
        <f>_xlfn.XLOOKUP(A50,'[11]Program 90'!$A$7:$A$64,'[11]Program 90'!$C$7:$C$64,0)</f>
        <v>1979507.0678849095</v>
      </c>
      <c r="D50" s="147">
        <f>_xlfn.XLOOKUP(A50,'[11]Program 90'!$A$7:$A$64,'[11]Program 90'!$D$7:$D$64,0)</f>
        <v>770707.95672761602</v>
      </c>
      <c r="E50" s="147">
        <f>_xlfn.XLOOKUP(A50,'[11]Program 90'!$A$7:$A$64,'[11]Program 90'!$E$7:$E$64,0)</f>
        <v>432275.77160853305</v>
      </c>
      <c r="F50" s="148">
        <f t="shared" si="0"/>
        <v>0.38934337200983704</v>
      </c>
      <c r="G50" s="149">
        <f t="shared" si="1"/>
        <v>26696.365942569733</v>
      </c>
    </row>
    <row r="51" spans="1:7" x14ac:dyDescent="0.25">
      <c r="A51" s="146" t="s">
        <v>34</v>
      </c>
      <c r="B51" s="147">
        <f>_xlfn.XLOOKUP(A51,'[11]Program 90'!$A$7:$A$64,'[11]Program 90'!$B$7:$B$64,0)</f>
        <v>21</v>
      </c>
      <c r="C51" s="147">
        <f>_xlfn.XLOOKUP(A51,'[11]Program 90'!$A$7:$A$64,'[11]Program 90'!$C$7:$C$64,0)</f>
        <v>1873972.67</v>
      </c>
      <c r="D51" s="147">
        <f>_xlfn.XLOOKUP(A51,'[11]Program 90'!$A$7:$A$64,'[11]Program 90'!$D$7:$D$64,0)</f>
        <v>327008.23091500002</v>
      </c>
      <c r="E51" s="147">
        <f>_xlfn.XLOOKUP(A51,'[11]Program 90'!$A$7:$A$64,'[11]Program 90'!$E$7:$E$64,0)</f>
        <v>578544.12589913351</v>
      </c>
      <c r="F51" s="148">
        <f t="shared" si="0"/>
        <v>0.17450000000000002</v>
      </c>
      <c r="G51" s="149">
        <f t="shared" si="1"/>
        <v>27549.720280911119</v>
      </c>
    </row>
    <row r="52" spans="1:7" x14ac:dyDescent="0.25">
      <c r="A52" s="146" t="s">
        <v>17</v>
      </c>
      <c r="B52" s="147">
        <f>_xlfn.XLOOKUP(A52,'[11]Program 90'!$A$7:$A$64,'[11]Program 90'!$B$7:$B$64,0)</f>
        <v>1.53</v>
      </c>
      <c r="C52" s="147">
        <f>_xlfn.XLOOKUP(A52,'[11]Program 90'!$A$7:$A$64,'[11]Program 90'!$C$7:$C$64,0)</f>
        <v>106950.05</v>
      </c>
      <c r="D52" s="147">
        <f>_xlfn.XLOOKUP(A52,'[11]Program 90'!$A$7:$A$64,'[11]Program 90'!$D$7:$D$64,0)</f>
        <v>45560.721300000005</v>
      </c>
      <c r="E52" s="147">
        <f>_xlfn.XLOOKUP(A52,'[11]Program 90'!$A$7:$A$64,'[11]Program 90'!$E$7:$E$64,0)</f>
        <v>56203.01999999999</v>
      </c>
      <c r="F52" s="148">
        <f t="shared" si="0"/>
        <v>0.42600000000000005</v>
      </c>
      <c r="G52" s="149">
        <f t="shared" si="1"/>
        <v>36733.999999999993</v>
      </c>
    </row>
    <row r="53" spans="1:7" x14ac:dyDescent="0.25">
      <c r="A53" s="146" t="s">
        <v>35</v>
      </c>
      <c r="B53" s="147">
        <f>_xlfn.XLOOKUP(A53,'[11]Program 90'!$A$7:$A$64,'[11]Program 90'!$B$7:$B$64,0)</f>
        <v>2.7</v>
      </c>
      <c r="C53" s="147">
        <f>_xlfn.XLOOKUP(A53,'[11]Program 90'!$A$7:$A$64,'[11]Program 90'!$C$7:$C$64,0)</f>
        <v>290627.95</v>
      </c>
      <c r="D53" s="147">
        <f>_xlfn.XLOOKUP(A53,'[11]Program 90'!$A$7:$A$64,'[11]Program 90'!$D$7:$D$64,0)</f>
        <v>135531.438203</v>
      </c>
      <c r="E53" s="147">
        <f>_xlfn.XLOOKUP(A53,'[11]Program 90'!$A$7:$A$64,'[11]Program 90'!$E$7:$E$64,0)</f>
        <v>78344.063999999998</v>
      </c>
      <c r="F53" s="148">
        <f t="shared" si="0"/>
        <v>0.46633999999999998</v>
      </c>
      <c r="G53" s="149">
        <f t="shared" si="1"/>
        <v>29016.319999999996</v>
      </c>
    </row>
    <row r="54" spans="1:7" x14ac:dyDescent="0.25">
      <c r="A54" s="146" t="s">
        <v>48</v>
      </c>
      <c r="B54" s="147">
        <f>_xlfn.XLOOKUP(A54,'[11]Program 90'!$A$7:$A$64,'[11]Program 90'!$B$7:$B$64,0)</f>
        <v>20</v>
      </c>
      <c r="C54" s="147">
        <f>_xlfn.XLOOKUP(A54,'[11]Program 90'!$A$7:$A$64,'[11]Program 90'!$C$7:$C$64,0)</f>
        <v>2046661.7851546886</v>
      </c>
      <c r="D54" s="147">
        <f>_xlfn.XLOOKUP(A54,'[11]Program 90'!$A$7:$A$64,'[11]Program 90'!$D$7:$D$64,0)</f>
        <v>1094738.6099479888</v>
      </c>
      <c r="E54" s="147">
        <f>_xlfn.XLOOKUP(A54,'[11]Program 90'!$A$7:$A$64,'[11]Program 90'!$E$7:$E$64,0)</f>
        <v>431008.11199999991</v>
      </c>
      <c r="F54" s="148">
        <f t="shared" si="0"/>
        <v>0.53488984740351098</v>
      </c>
      <c r="G54" s="149">
        <f t="shared" si="1"/>
        <v>21550.405599999995</v>
      </c>
    </row>
    <row r="55" spans="1:7" x14ac:dyDescent="0.25">
      <c r="A55" s="146" t="s">
        <v>49</v>
      </c>
      <c r="B55" s="147">
        <f>_xlfn.XLOOKUP(A55,'[11]Program 90'!$A$7:$A$64,'[11]Program 90'!$B$7:$B$64,0)</f>
        <v>22.5</v>
      </c>
      <c r="C55" s="147">
        <f>_xlfn.XLOOKUP(A55,'[11]Program 90'!$A$7:$A$64,'[11]Program 90'!$C$7:$C$64,0)</f>
        <v>2397524.5086799995</v>
      </c>
      <c r="D55" s="147">
        <f>_xlfn.XLOOKUP(A55,'[11]Program 90'!$A$7:$A$64,'[11]Program 90'!$D$7:$D$64,0)</f>
        <v>1024548.0123872049</v>
      </c>
      <c r="E55" s="147">
        <f>_xlfn.XLOOKUP(A55,'[11]Program 90'!$A$7:$A$64,'[11]Program 90'!$E$7:$E$64,0)</f>
        <v>501476.02999999997</v>
      </c>
      <c r="F55" s="148">
        <f t="shared" si="0"/>
        <v>0.42733578266997085</v>
      </c>
      <c r="G55" s="149">
        <f t="shared" si="1"/>
        <v>22287.823555555555</v>
      </c>
    </row>
    <row r="56" spans="1:7" x14ac:dyDescent="0.25">
      <c r="A56" s="146" t="s">
        <v>50</v>
      </c>
      <c r="B56" s="147">
        <f>_xlfn.XLOOKUP(A56,'[11]Program 90'!$A$7:$A$64,'[11]Program 90'!$B$7:$B$64,0)</f>
        <v>39.450000000000003</v>
      </c>
      <c r="C56" s="147">
        <f>_xlfn.XLOOKUP(A56,'[11]Program 90'!$A$7:$A$64,'[11]Program 90'!$C$7:$C$64,0)</f>
        <v>4121197.9699999988</v>
      </c>
      <c r="D56" s="147">
        <f>_xlfn.XLOOKUP(A56,'[11]Program 90'!$A$7:$A$64,'[11]Program 90'!$D$7:$D$64,0)</f>
        <v>1499408.9915601995</v>
      </c>
      <c r="E56" s="147">
        <f>_xlfn.XLOOKUP(A56,'[11]Program 90'!$A$7:$A$64,'[11]Program 90'!$E$7:$E$64,0)</f>
        <v>828796.66899999953</v>
      </c>
      <c r="F56" s="148">
        <f t="shared" si="0"/>
        <v>0.36382843107151197</v>
      </c>
      <c r="G56" s="149">
        <f t="shared" si="1"/>
        <v>21008.787553865641</v>
      </c>
    </row>
    <row r="57" spans="1:7" x14ac:dyDescent="0.25">
      <c r="A57" s="146" t="s">
        <v>36</v>
      </c>
      <c r="B57" s="147">
        <f>_xlfn.XLOOKUP(A57,'[11]Program 90'!$A$7:$A$64,'[11]Program 90'!$B$7:$B$64,0)</f>
        <v>12</v>
      </c>
      <c r="C57" s="147">
        <f>_xlfn.XLOOKUP(A57,'[11]Program 90'!$A$7:$A$64,'[11]Program 90'!$C$7:$C$64,0)</f>
        <v>1115550.8700000001</v>
      </c>
      <c r="D57" s="147">
        <f>_xlfn.XLOOKUP(A57,'[11]Program 90'!$A$7:$A$64,'[11]Program 90'!$D$7:$D$64,0)</f>
        <v>524237.40488799999</v>
      </c>
      <c r="E57" s="147">
        <f>_xlfn.XLOOKUP(A57,'[11]Program 90'!$A$7:$A$64,'[11]Program 90'!$E$7:$E$64,0)</f>
        <v>326968.64</v>
      </c>
      <c r="F57" s="148">
        <f t="shared" si="0"/>
        <v>0.46993590250886536</v>
      </c>
      <c r="G57" s="149">
        <f t="shared" si="1"/>
        <v>27247.386666666669</v>
      </c>
    </row>
    <row r="58" spans="1:7" x14ac:dyDescent="0.25">
      <c r="A58" s="146" t="s">
        <v>37</v>
      </c>
      <c r="B58" s="147">
        <f>_xlfn.XLOOKUP(A58,'[11]Program 90'!$A$7:$A$64,'[11]Program 90'!$B$7:$B$64,0)</f>
        <v>5.9</v>
      </c>
      <c r="C58" s="147">
        <f>_xlfn.XLOOKUP(A58,'[11]Program 90'!$A$7:$A$64,'[11]Program 90'!$C$7:$C$64,0)</f>
        <v>515254.72800000006</v>
      </c>
      <c r="D58" s="147">
        <f>_xlfn.XLOOKUP(A58,'[11]Program 90'!$A$7:$A$64,'[11]Program 90'!$D$7:$D$64,0)</f>
        <v>211821.21868079997</v>
      </c>
      <c r="E58" s="147">
        <f>_xlfn.XLOOKUP(A58,'[11]Program 90'!$A$7:$A$64,'[11]Program 90'!$E$7:$E$64,0)</f>
        <v>154630.26800000001</v>
      </c>
      <c r="F58" s="148">
        <f t="shared" si="0"/>
        <v>0.41109999999999991</v>
      </c>
      <c r="G58" s="149">
        <f t="shared" si="1"/>
        <v>26208.52</v>
      </c>
    </row>
    <row r="59" spans="1:7" x14ac:dyDescent="0.25">
      <c r="A59" s="146" t="s">
        <v>18</v>
      </c>
      <c r="B59" s="147">
        <f>_xlfn.XLOOKUP(A59,'[11]Program 90'!$A$7:$A$64,'[11]Program 90'!$B$7:$B$64,0)</f>
        <v>1.62</v>
      </c>
      <c r="C59" s="147">
        <f>_xlfn.XLOOKUP(A59,'[11]Program 90'!$A$7:$A$64,'[11]Program 90'!$C$7:$C$64,0)</f>
        <v>85332.47</v>
      </c>
      <c r="D59" s="147">
        <f>_xlfn.XLOOKUP(A59,'[11]Program 90'!$A$7:$A$64,'[11]Program 90'!$D$7:$D$64,0)</f>
        <v>33794.495030000005</v>
      </c>
      <c r="E59" s="147">
        <f>_xlfn.XLOOKUP(A59,'[11]Program 90'!$A$7:$A$64,'[11]Program 90'!$E$7:$E$64,0)</f>
        <v>10899</v>
      </c>
      <c r="F59" s="148">
        <f t="shared" si="0"/>
        <v>0.39603324537541224</v>
      </c>
      <c r="G59" s="149">
        <f t="shared" si="1"/>
        <v>6727.7777777777774</v>
      </c>
    </row>
    <row r="60" spans="1:7" x14ac:dyDescent="0.25">
      <c r="A60" s="146" t="s">
        <v>51</v>
      </c>
      <c r="B60" s="147">
        <f>_xlfn.XLOOKUP(A60,'[11]Program 90'!$A$7:$A$64,'[11]Program 90'!$B$7:$B$64,0)</f>
        <v>29.75</v>
      </c>
      <c r="C60" s="147">
        <f>_xlfn.XLOOKUP(A60,'[11]Program 90'!$A$7:$A$64,'[11]Program 90'!$C$7:$C$64,0)</f>
        <v>2961006.01</v>
      </c>
      <c r="D60" s="147">
        <f>_xlfn.XLOOKUP(A60,'[11]Program 90'!$A$7:$A$64,'[11]Program 90'!$D$7:$D$64,0)</f>
        <v>926464.27046250005</v>
      </c>
      <c r="E60" s="147">
        <f>_xlfn.XLOOKUP(A60,'[11]Program 90'!$A$7:$A$64,'[11]Program 90'!$E$7:$E$64,0)</f>
        <v>1138229.7550000004</v>
      </c>
      <c r="F60" s="148">
        <f t="shared" si="0"/>
        <v>0.3128883451548618</v>
      </c>
      <c r="G60" s="149">
        <f t="shared" si="1"/>
        <v>38259.823697479005</v>
      </c>
    </row>
    <row r="61" spans="1:7" x14ac:dyDescent="0.25">
      <c r="A61" s="146" t="s">
        <v>38</v>
      </c>
      <c r="B61" s="147">
        <f>_xlfn.XLOOKUP(A61,'[11]Program 90'!$A$7:$A$64,'[11]Program 90'!$B$7:$B$64,0)</f>
        <v>6</v>
      </c>
      <c r="C61" s="147">
        <f>_xlfn.XLOOKUP(A61,'[11]Program 90'!$A$7:$A$64,'[11]Program 90'!$C$7:$C$64,0)</f>
        <v>610725</v>
      </c>
      <c r="D61" s="147">
        <f>_xlfn.XLOOKUP(A61,'[11]Program 90'!$A$7:$A$64,'[11]Program 90'!$D$7:$D$64,0)</f>
        <v>200147.12950000001</v>
      </c>
      <c r="E61" s="147">
        <f>_xlfn.XLOOKUP(A61,'[11]Program 90'!$A$7:$A$64,'[11]Program 90'!$E$7:$E$64,0)</f>
        <v>212817.56999999998</v>
      </c>
      <c r="F61" s="148">
        <f t="shared" si="0"/>
        <v>0.32772054443489296</v>
      </c>
      <c r="G61" s="149">
        <f t="shared" si="1"/>
        <v>35469.594999999994</v>
      </c>
    </row>
    <row r="62" spans="1:7" x14ac:dyDescent="0.25">
      <c r="A62" s="146" t="s">
        <v>52</v>
      </c>
      <c r="B62" s="147">
        <f>_xlfn.XLOOKUP(A62,'[11]Program 90'!$A$7:$A$64,'[11]Program 90'!$B$7:$B$64,0)</f>
        <v>48.018800000000006</v>
      </c>
      <c r="C62" s="147">
        <f>_xlfn.XLOOKUP(A62,'[11]Program 90'!$A$7:$A$64,'[11]Program 90'!$C$7:$C$64,0)</f>
        <v>5961319.4514720002</v>
      </c>
      <c r="D62" s="147">
        <f>_xlfn.XLOOKUP(A62,'[11]Program 90'!$A$7:$A$64,'[11]Program 90'!$D$7:$D$64,0)</f>
        <v>1673853.6439231816</v>
      </c>
      <c r="E62" s="147">
        <f>_xlfn.XLOOKUP(A62,'[11]Program 90'!$A$7:$A$64,'[11]Program 90'!$E$7:$E$64,0)</f>
        <v>1093846.9676400006</v>
      </c>
      <c r="F62" s="148">
        <f t="shared" si="0"/>
        <v>0.28078576522347998</v>
      </c>
      <c r="G62" s="149">
        <f t="shared" si="1"/>
        <v>22779.556499537692</v>
      </c>
    </row>
    <row r="63" spans="1:7" x14ac:dyDescent="0.25">
      <c r="A63" s="146" t="s">
        <v>39</v>
      </c>
      <c r="B63" s="147">
        <f>_xlfn.XLOOKUP(A63,'[11]Program 90'!$A$7:$A$64,'[11]Program 90'!$B$7:$B$64,0)</f>
        <v>16</v>
      </c>
      <c r="C63" s="147">
        <f>_xlfn.XLOOKUP(A63,'[11]Program 90'!$A$7:$A$64,'[11]Program 90'!$C$7:$C$64,0)</f>
        <v>1617221.8299999998</v>
      </c>
      <c r="D63" s="147">
        <f>_xlfn.XLOOKUP(A63,'[11]Program 90'!$A$7:$A$64,'[11]Program 90'!$D$7:$D$64,0)</f>
        <v>305944.6458639999</v>
      </c>
      <c r="E63" s="147">
        <f>_xlfn.XLOOKUP(A63,'[11]Program 90'!$A$7:$A$64,'[11]Program 90'!$E$7:$E$64,0)</f>
        <v>856321.01</v>
      </c>
      <c r="F63" s="148">
        <f t="shared" si="0"/>
        <v>0.18917914672472602</v>
      </c>
      <c r="G63" s="149">
        <f t="shared" si="1"/>
        <v>53520.063125000001</v>
      </c>
    </row>
    <row r="64" spans="1:7" x14ac:dyDescent="0.25">
      <c r="A64" s="146" t="s">
        <v>40</v>
      </c>
      <c r="B64" s="147">
        <f>_xlfn.XLOOKUP(A64,'[11]Program 90'!$A$7:$A$64,'[11]Program 90'!$B$7:$B$64,0)</f>
        <v>8</v>
      </c>
      <c r="C64" s="147">
        <f>_xlfn.XLOOKUP(A64,'[11]Program 90'!$A$7:$A$64,'[11]Program 90'!$C$7:$C$64,0)</f>
        <v>824173.62999999989</v>
      </c>
      <c r="D64" s="147">
        <f>_xlfn.XLOOKUP(A64,'[11]Program 90'!$A$7:$A$64,'[11]Program 90'!$D$7:$D$64,0)</f>
        <v>89093.169403000007</v>
      </c>
      <c r="E64" s="147">
        <f>_xlfn.XLOOKUP(A64,'[11]Program 90'!$A$7:$A$64,'[11]Program 90'!$E$7:$E$64,0)</f>
        <v>189092.92</v>
      </c>
      <c r="F64" s="148">
        <f t="shared" si="0"/>
        <v>0.10810000000000003</v>
      </c>
      <c r="G64" s="149">
        <f t="shared" si="1"/>
        <v>23636.615000000002</v>
      </c>
    </row>
    <row r="65" spans="1:7" s="112" customFormat="1" ht="15.75" thickBot="1" x14ac:dyDescent="0.3">
      <c r="A65" s="98" t="s">
        <v>174</v>
      </c>
      <c r="B65" s="155">
        <f>SUM(B7:B64)</f>
        <v>2590.4882724432646</v>
      </c>
      <c r="C65" s="77">
        <f t="shared" ref="C65:D65" si="2">SUM(C7:C64)</f>
        <v>271900690.59032148</v>
      </c>
      <c r="D65" s="77">
        <f t="shared" si="2"/>
        <v>108226554.49658181</v>
      </c>
      <c r="E65" s="77">
        <f>SUM(E7:E64)</f>
        <v>59609064.67485214</v>
      </c>
      <c r="F65" s="156">
        <f t="shared" si="0"/>
        <v>0.39803707104094505</v>
      </c>
      <c r="G65" s="77">
        <f t="shared" si="1"/>
        <v>23010.744850286777</v>
      </c>
    </row>
    <row r="66" spans="1:7" ht="15.75" thickTop="1" x14ac:dyDescent="0.25">
      <c r="D66" s="151"/>
      <c r="G66" s="150"/>
    </row>
    <row r="67" spans="1:7" x14ac:dyDescent="0.25">
      <c r="B67" s="152"/>
      <c r="C67" s="152"/>
      <c r="D67" s="152"/>
    </row>
    <row r="68" spans="1:7" x14ac:dyDescent="0.25">
      <c r="D68" s="151"/>
    </row>
  </sheetData>
  <mergeCells count="2">
    <mergeCell ref="B4:C4"/>
    <mergeCell ref="A5:A6"/>
  </mergeCells>
  <printOptions horizontalCentered="1"/>
  <pageMargins left="0.5" right="0.5" top="0.5" bottom="0.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D6F6-189A-44B6-B011-C373DFC30D94}">
  <sheetPr codeName="Sheet6">
    <tabColor rgb="FF92D050"/>
    <pageSetUpPr fitToPage="1"/>
  </sheetPr>
  <dimension ref="A1:J66"/>
  <sheetViews>
    <sheetView zoomScaleNormal="100" workbookViewId="0">
      <pane xSplit="2" ySplit="6" topLeftCell="C7" activePane="bottomRight" state="frozen"/>
      <selection pane="topRight" activeCell="C1" sqref="C1"/>
      <selection pane="bottomLeft" activeCell="A7" sqref="A7"/>
      <selection pane="bottomRight" sqref="A1:A1048576"/>
    </sheetView>
  </sheetViews>
  <sheetFormatPr defaultColWidth="9.42578125" defaultRowHeight="15" x14ac:dyDescent="0.25"/>
  <cols>
    <col min="1" max="1" width="10.5703125" style="44" bestFit="1" customWidth="1"/>
    <col min="2" max="2" width="15.5703125" style="53" customWidth="1"/>
    <col min="3" max="3" width="1.5703125" style="53" customWidth="1"/>
    <col min="4" max="4" width="17" style="184" customWidth="1"/>
    <col min="5" max="5" width="19.42578125" style="54" customWidth="1"/>
    <col min="6" max="6" width="5.42578125" style="53" customWidth="1"/>
    <col min="7" max="7" width="15.5703125" style="53" customWidth="1"/>
    <col min="8" max="8" width="18.42578125" style="53" customWidth="1"/>
    <col min="9" max="16384" width="9.42578125" style="53"/>
  </cols>
  <sheetData>
    <row r="1" spans="1:10" ht="18.75" x14ac:dyDescent="0.25">
      <c r="A1" s="46" t="s">
        <v>198</v>
      </c>
      <c r="C1" s="100"/>
    </row>
    <row r="2" spans="1:10" ht="16.350000000000001" customHeight="1" x14ac:dyDescent="0.25">
      <c r="A2" s="49" t="s">
        <v>247</v>
      </c>
      <c r="C2" s="51"/>
    </row>
    <row r="3" spans="1:10" ht="15" customHeight="1" x14ac:dyDescent="0.25">
      <c r="C3" s="51"/>
    </row>
    <row r="4" spans="1:10" ht="15.75" thickBot="1" x14ac:dyDescent="0.3">
      <c r="C4" s="81"/>
      <c r="D4" s="294" t="s">
        <v>240</v>
      </c>
      <c r="E4" s="295"/>
    </row>
    <row r="5" spans="1:10" ht="30" x14ac:dyDescent="0.25">
      <c r="A5" s="292" t="s">
        <v>68</v>
      </c>
      <c r="B5" s="303" t="s">
        <v>63</v>
      </c>
      <c r="C5" s="81"/>
      <c r="D5" s="189" t="s">
        <v>203</v>
      </c>
      <c r="E5" s="190" t="s">
        <v>185</v>
      </c>
      <c r="G5" s="305" t="s">
        <v>68</v>
      </c>
      <c r="H5" s="307" t="s">
        <v>100</v>
      </c>
    </row>
    <row r="6" spans="1:10" ht="16.350000000000001" customHeight="1" x14ac:dyDescent="0.25">
      <c r="A6" s="293"/>
      <c r="B6" s="304"/>
      <c r="C6" s="81"/>
      <c r="D6" s="78" t="s">
        <v>65</v>
      </c>
      <c r="E6" s="78" t="s">
        <v>1</v>
      </c>
      <c r="G6" s="306"/>
      <c r="H6" s="308"/>
    </row>
    <row r="7" spans="1:10" x14ac:dyDescent="0.25">
      <c r="A7" s="188">
        <v>4</v>
      </c>
      <c r="B7" s="146" t="s">
        <v>53</v>
      </c>
      <c r="C7" s="82"/>
      <c r="D7" s="186">
        <f>_xlfn.XLOOKUP(B7,'[11]CEO Salary'!$B$7:$B$64,'[11]CEO Salary'!$D$7:$D$64)</f>
        <v>1</v>
      </c>
      <c r="E7" s="235">
        <f>_xlfn.XLOOKUP(B7,'[11]CEO Salary'!$B$7:$B$64,'[11]CEO Salary'!$E$7:$E$64)</f>
        <v>308268.96000000002</v>
      </c>
      <c r="G7" s="298">
        <v>1</v>
      </c>
      <c r="H7" s="302">
        <f>AVERAGEIF($A$7:$A$64,1,$E$7:$E$64)</f>
        <v>157919.41593777778</v>
      </c>
      <c r="I7" s="220"/>
      <c r="J7" s="56"/>
    </row>
    <row r="8" spans="1:10" x14ac:dyDescent="0.25">
      <c r="A8" s="188">
        <v>1</v>
      </c>
      <c r="B8" s="146" t="s">
        <v>4</v>
      </c>
      <c r="C8" s="81"/>
      <c r="D8" s="186">
        <f>_xlfn.XLOOKUP(B8,'[11]CEO Salary'!$B$7:$B$64,'[11]CEO Salary'!$D$7:$D$64)</f>
        <v>0.99999999999999989</v>
      </c>
      <c r="E8" s="235">
        <f>_xlfn.XLOOKUP(B8,'[11]CEO Salary'!$B$7:$B$64,'[11]CEO Salary'!$E$7:$E$64)</f>
        <v>140400</v>
      </c>
      <c r="G8" s="298"/>
      <c r="H8" s="302"/>
      <c r="I8" s="220"/>
      <c r="J8" s="56"/>
    </row>
    <row r="9" spans="1:10" x14ac:dyDescent="0.25">
      <c r="A9" s="188">
        <v>1</v>
      </c>
      <c r="B9" s="146" t="s">
        <v>5</v>
      </c>
      <c r="D9" s="186">
        <f>_xlfn.XLOOKUP(B9,'[11]CEO Salary'!$B$7:$B$64,'[11]CEO Salary'!$D$7:$D$64)</f>
        <v>1</v>
      </c>
      <c r="E9" s="235">
        <f>_xlfn.XLOOKUP(B9,'[11]CEO Salary'!$B$7:$B$64,'[11]CEO Salary'!$E$7:$E$64)</f>
        <v>174236.14</v>
      </c>
      <c r="G9" s="298">
        <v>2</v>
      </c>
      <c r="H9" s="299">
        <f>AVERAGEIF($A$7:$A$64,2,$E$7:$E$64)</f>
        <v>218101.02419818181</v>
      </c>
      <c r="I9" s="220"/>
      <c r="J9" s="56"/>
    </row>
    <row r="10" spans="1:10" x14ac:dyDescent="0.25">
      <c r="A10" s="188">
        <v>2</v>
      </c>
      <c r="B10" s="146" t="s">
        <v>19</v>
      </c>
      <c r="D10" s="186">
        <f>_xlfn.XLOOKUP(B10,'[11]CEO Salary'!$B$7:$B$64,'[11]CEO Salary'!$D$7:$D$64)</f>
        <v>1</v>
      </c>
      <c r="E10" s="235">
        <f>_xlfn.XLOOKUP(B10,'[11]CEO Salary'!$B$7:$B$64,'[11]CEO Salary'!$E$7:$E$64)</f>
        <v>209486.82300000003</v>
      </c>
      <c r="G10" s="298"/>
      <c r="H10" s="299"/>
      <c r="I10" s="220"/>
      <c r="J10" s="56"/>
    </row>
    <row r="11" spans="1:10" x14ac:dyDescent="0.25">
      <c r="A11" s="188">
        <v>1</v>
      </c>
      <c r="B11" s="146" t="s">
        <v>6</v>
      </c>
      <c r="D11" s="186">
        <f>_xlfn.XLOOKUP(B11,'[11]CEO Salary'!$B$7:$B$64,'[11]CEO Salary'!$D$7:$D$64)</f>
        <v>1</v>
      </c>
      <c r="E11" s="235">
        <f>_xlfn.XLOOKUP(B11,'[11]CEO Salary'!$B$7:$B$64,'[11]CEO Salary'!$E$7:$E$64)</f>
        <v>158799.2224</v>
      </c>
      <c r="G11" s="298">
        <v>3</v>
      </c>
      <c r="H11" s="299">
        <f>AVERAGEIF($A$7:$A$64,3,$E$7:$E$64)</f>
        <v>247837.75653896623</v>
      </c>
      <c r="I11" s="220"/>
      <c r="J11" s="56"/>
    </row>
    <row r="12" spans="1:10" x14ac:dyDescent="0.25">
      <c r="A12" s="188">
        <v>1</v>
      </c>
      <c r="B12" s="146" t="s">
        <v>7</v>
      </c>
      <c r="C12" s="83"/>
      <c r="D12" s="186">
        <f>_xlfn.XLOOKUP(B12,'[11]CEO Salary'!$B$7:$B$64,'[11]CEO Salary'!$D$7:$D$64)</f>
        <v>1</v>
      </c>
      <c r="E12" s="235">
        <f>_xlfn.XLOOKUP(B12,'[11]CEO Salary'!$B$7:$B$64,'[11]CEO Salary'!$E$7:$E$64)</f>
        <v>144441</v>
      </c>
      <c r="G12" s="298"/>
      <c r="H12" s="299"/>
      <c r="I12" s="220"/>
      <c r="J12" s="56"/>
    </row>
    <row r="13" spans="1:10" x14ac:dyDescent="0.25">
      <c r="A13" s="188">
        <v>3</v>
      </c>
      <c r="B13" s="146" t="s">
        <v>41</v>
      </c>
      <c r="D13" s="186">
        <f>_xlfn.XLOOKUP(B13,'[11]CEO Salary'!$B$7:$B$64,'[11]CEO Salary'!$D$7:$D$64)</f>
        <v>1</v>
      </c>
      <c r="E13" s="235">
        <f>_xlfn.XLOOKUP(B13,'[11]CEO Salary'!$B$7:$B$64,'[11]CEO Salary'!$E$7:$E$64)</f>
        <v>248613.80000000005</v>
      </c>
      <c r="G13" s="298">
        <v>4</v>
      </c>
      <c r="H13" s="299">
        <f>AVERAGEIF($A$7:$A$64,4,$E$7:$E$64)</f>
        <v>321923.64124999999</v>
      </c>
      <c r="I13" s="220"/>
      <c r="J13" s="56"/>
    </row>
    <row r="14" spans="1:10" ht="15.75" thickBot="1" x14ac:dyDescent="0.3">
      <c r="A14" s="188">
        <v>1</v>
      </c>
      <c r="B14" s="146" t="s">
        <v>8</v>
      </c>
      <c r="D14" s="186">
        <f>_xlfn.XLOOKUP(B14,'[11]CEO Salary'!$B$7:$B$64,'[11]CEO Salary'!$D$7:$D$64)</f>
        <v>1</v>
      </c>
      <c r="E14" s="235">
        <f>_xlfn.XLOOKUP(B14,'[11]CEO Salary'!$B$7:$B$64,'[11]CEO Salary'!$E$7:$E$64)</f>
        <v>139666.66666666666</v>
      </c>
      <c r="G14" s="300"/>
      <c r="H14" s="301"/>
      <c r="I14" s="220"/>
      <c r="J14" s="56"/>
    </row>
    <row r="15" spans="1:10" x14ac:dyDescent="0.25">
      <c r="A15" s="188">
        <v>2</v>
      </c>
      <c r="B15" s="146" t="s">
        <v>20</v>
      </c>
      <c r="D15" s="186">
        <f>_xlfn.XLOOKUP(B15,'[11]CEO Salary'!$B$7:$B$64,'[11]CEO Salary'!$D$7:$D$64)</f>
        <v>1</v>
      </c>
      <c r="E15" s="235">
        <f>_xlfn.XLOOKUP(B15,'[11]CEO Salary'!$B$7:$B$64,'[11]CEO Salary'!$E$7:$E$64)</f>
        <v>226553.60000000001</v>
      </c>
      <c r="G15" s="112"/>
      <c r="H15" s="112"/>
      <c r="I15" s="220"/>
    </row>
    <row r="16" spans="1:10" x14ac:dyDescent="0.25">
      <c r="A16" s="188">
        <v>3</v>
      </c>
      <c r="B16" s="146" t="s">
        <v>42</v>
      </c>
      <c r="D16" s="186">
        <f>_xlfn.XLOOKUP(B16,'[11]CEO Salary'!$B$7:$B$64,'[11]CEO Salary'!$D$7:$D$64)</f>
        <v>1</v>
      </c>
      <c r="E16" s="235">
        <f>_xlfn.XLOOKUP(B16,'[11]CEO Salary'!$B$7:$B$64,'[11]CEO Salary'!$E$7:$E$64)</f>
        <v>234855.09</v>
      </c>
      <c r="I16" s="220"/>
    </row>
    <row r="17" spans="1:9" x14ac:dyDescent="0.25">
      <c r="A17" s="188">
        <v>1</v>
      </c>
      <c r="B17" s="146" t="s">
        <v>9</v>
      </c>
      <c r="D17" s="186">
        <f>_xlfn.XLOOKUP(B17,'[11]CEO Salary'!$B$7:$B$64,'[11]CEO Salary'!$D$7:$D$64)</f>
        <v>1</v>
      </c>
      <c r="E17" s="235">
        <f>_xlfn.XLOOKUP(B17,'[11]CEO Salary'!$B$7:$B$64,'[11]CEO Salary'!$E$7:$E$64)</f>
        <v>160000</v>
      </c>
      <c r="I17" s="220"/>
    </row>
    <row r="18" spans="1:9" x14ac:dyDescent="0.25">
      <c r="A18" s="188">
        <v>2</v>
      </c>
      <c r="B18" s="146" t="s">
        <v>21</v>
      </c>
      <c r="C18" s="83"/>
      <c r="D18" s="186">
        <f>_xlfn.XLOOKUP(B18,'[11]CEO Salary'!$B$7:$B$64,'[11]CEO Salary'!$D$7:$D$64)</f>
        <v>1</v>
      </c>
      <c r="E18" s="235">
        <f>_xlfn.XLOOKUP(B18,'[11]CEO Salary'!$B$7:$B$64,'[11]CEO Salary'!$E$7:$E$64)</f>
        <v>162697</v>
      </c>
      <c r="I18" s="220"/>
    </row>
    <row r="19" spans="1:9" x14ac:dyDescent="0.25">
      <c r="A19" s="188">
        <v>2</v>
      </c>
      <c r="B19" s="146" t="s">
        <v>22</v>
      </c>
      <c r="D19" s="186">
        <f>_xlfn.XLOOKUP(B19,'[11]CEO Salary'!$B$7:$B$64,'[11]CEO Salary'!$D$7:$D$64)</f>
        <v>1</v>
      </c>
      <c r="E19" s="235">
        <f>_xlfn.XLOOKUP(B19,'[11]CEO Salary'!$B$7:$B$64,'[11]CEO Salary'!$E$7:$E$64)</f>
        <v>208788.44896000001</v>
      </c>
      <c r="I19" s="220"/>
    </row>
    <row r="20" spans="1:9" x14ac:dyDescent="0.25">
      <c r="A20" s="188">
        <v>1</v>
      </c>
      <c r="B20" s="146" t="s">
        <v>10</v>
      </c>
      <c r="D20" s="186">
        <f>_xlfn.XLOOKUP(B20,'[11]CEO Salary'!$B$7:$B$64,'[11]CEO Salary'!$D$7:$D$64)</f>
        <v>1</v>
      </c>
      <c r="E20" s="235">
        <f>_xlfn.XLOOKUP(B20,'[11]CEO Salary'!$B$7:$B$64,'[11]CEO Salary'!$E$7:$E$64)</f>
        <v>180000</v>
      </c>
      <c r="I20" s="220"/>
    </row>
    <row r="21" spans="1:9" x14ac:dyDescent="0.25">
      <c r="A21" s="188">
        <v>3</v>
      </c>
      <c r="B21" s="146" t="s">
        <v>43</v>
      </c>
      <c r="D21" s="186">
        <f>_xlfn.XLOOKUP(B21,'[11]CEO Salary'!$B$7:$B$64,'[11]CEO Salary'!$D$7:$D$64)</f>
        <v>1</v>
      </c>
      <c r="E21" s="235">
        <f>_xlfn.XLOOKUP(B21,'[11]CEO Salary'!$B$7:$B$64,'[11]CEO Salary'!$E$7:$E$64)</f>
        <v>211475.56076164384</v>
      </c>
      <c r="I21" s="220"/>
    </row>
    <row r="22" spans="1:9" x14ac:dyDescent="0.25">
      <c r="A22" s="188">
        <v>2</v>
      </c>
      <c r="B22" s="146" t="s">
        <v>23</v>
      </c>
      <c r="D22" s="186">
        <f>_xlfn.XLOOKUP(B22,'[11]CEO Salary'!$B$7:$B$64,'[11]CEO Salary'!$D$7:$D$64)</f>
        <v>1</v>
      </c>
      <c r="E22" s="235">
        <f>_xlfn.XLOOKUP(B22,'[11]CEO Salary'!$B$7:$B$64,'[11]CEO Salary'!$E$7:$E$64)</f>
        <v>209397.17</v>
      </c>
      <c r="I22" s="220"/>
    </row>
    <row r="23" spans="1:9" x14ac:dyDescent="0.25">
      <c r="A23" s="188">
        <v>2</v>
      </c>
      <c r="B23" s="146" t="s">
        <v>24</v>
      </c>
      <c r="D23" s="186">
        <f>_xlfn.XLOOKUP(B23,'[11]CEO Salary'!$B$7:$B$64,'[11]CEO Salary'!$D$7:$D$64)</f>
        <v>1</v>
      </c>
      <c r="E23" s="235">
        <f>_xlfn.XLOOKUP(B23,'[11]CEO Salary'!$B$7:$B$64,'[11]CEO Salary'!$E$7:$E$64)</f>
        <v>230984.95</v>
      </c>
      <c r="I23" s="220"/>
    </row>
    <row r="24" spans="1:9" x14ac:dyDescent="0.25">
      <c r="A24" s="188">
        <v>1</v>
      </c>
      <c r="B24" s="146" t="s">
        <v>11</v>
      </c>
      <c r="D24" s="186">
        <f>_xlfn.XLOOKUP(B24,'[11]CEO Salary'!$B$7:$B$64,'[11]CEO Salary'!$D$7:$D$64)</f>
        <v>1</v>
      </c>
      <c r="E24" s="235">
        <f>_xlfn.XLOOKUP(B24,'[11]CEO Salary'!$B$7:$B$64,'[11]CEO Salary'!$E$7:$E$64)</f>
        <v>154459.79999999999</v>
      </c>
      <c r="I24" s="220"/>
    </row>
    <row r="25" spans="1:9" x14ac:dyDescent="0.25">
      <c r="A25" s="188">
        <v>4</v>
      </c>
      <c r="B25" s="146" t="s">
        <v>54</v>
      </c>
      <c r="D25" s="186">
        <f>_xlfn.XLOOKUP(B25,'[11]CEO Salary'!$B$7:$B$64,'[11]CEO Salary'!$D$7:$D$64)</f>
        <v>1</v>
      </c>
      <c r="E25" s="235">
        <f>_xlfn.XLOOKUP(B25,'[11]CEO Salary'!$B$7:$B$64,'[11]CEO Salary'!$E$7:$E$64)</f>
        <v>460766.4</v>
      </c>
      <c r="I25" s="220"/>
    </row>
    <row r="26" spans="1:9" x14ac:dyDescent="0.25">
      <c r="A26" s="188">
        <v>2</v>
      </c>
      <c r="B26" s="146" t="s">
        <v>25</v>
      </c>
      <c r="D26" s="186">
        <f>_xlfn.XLOOKUP(B26,'[11]CEO Salary'!$B$7:$B$64,'[11]CEO Salary'!$D$7:$D$64)</f>
        <v>1</v>
      </c>
      <c r="E26" s="235">
        <f>_xlfn.XLOOKUP(B26,'[11]CEO Salary'!$B$7:$B$64,'[11]CEO Salary'!$E$7:$E$64)</f>
        <v>198597.97</v>
      </c>
      <c r="I26" s="220"/>
    </row>
    <row r="27" spans="1:9" x14ac:dyDescent="0.25">
      <c r="A27" s="188">
        <v>2</v>
      </c>
      <c r="B27" s="146" t="s">
        <v>26</v>
      </c>
      <c r="D27" s="186">
        <f>_xlfn.XLOOKUP(B27,'[11]CEO Salary'!$B$7:$B$64,'[11]CEO Salary'!$D$7:$D$64)</f>
        <v>1</v>
      </c>
      <c r="E27" s="235">
        <f>_xlfn.XLOOKUP(B27,'[11]CEO Salary'!$B$7:$B$64,'[11]CEO Salary'!$E$7:$E$64)</f>
        <v>280000</v>
      </c>
      <c r="I27" s="220"/>
    </row>
    <row r="28" spans="1:9" x14ac:dyDescent="0.25">
      <c r="A28" s="188">
        <v>1</v>
      </c>
      <c r="B28" s="146" t="s">
        <v>12</v>
      </c>
      <c r="D28" s="186">
        <f>_xlfn.XLOOKUP(B28,'[11]CEO Salary'!$B$7:$B$64,'[11]CEO Salary'!$D$7:$D$64)</f>
        <v>1</v>
      </c>
      <c r="E28" s="235">
        <f>_xlfn.XLOOKUP(B28,'[11]CEO Salary'!$B$7:$B$64,'[11]CEO Salary'!$E$7:$E$64)</f>
        <v>133116.38</v>
      </c>
      <c r="I28" s="220"/>
    </row>
    <row r="29" spans="1:9" x14ac:dyDescent="0.25">
      <c r="A29" s="188">
        <v>2</v>
      </c>
      <c r="B29" s="146" t="s">
        <v>27</v>
      </c>
      <c r="D29" s="186">
        <f>_xlfn.XLOOKUP(B29,'[11]CEO Salary'!$B$7:$B$64,'[11]CEO Salary'!$D$7:$D$64)</f>
        <v>1</v>
      </c>
      <c r="E29" s="235">
        <f>_xlfn.XLOOKUP(B29,'[11]CEO Salary'!$B$7:$B$64,'[11]CEO Salary'!$E$7:$E$64)</f>
        <v>248472</v>
      </c>
      <c r="I29" s="220"/>
    </row>
    <row r="30" spans="1:9" x14ac:dyDescent="0.25">
      <c r="A30" s="188">
        <v>2</v>
      </c>
      <c r="B30" s="146" t="s">
        <v>28</v>
      </c>
      <c r="D30" s="186">
        <f>_xlfn.XLOOKUP(B30,'[11]CEO Salary'!$B$7:$B$64,'[11]CEO Salary'!$D$7:$D$64)</f>
        <v>1</v>
      </c>
      <c r="E30" s="235">
        <f>_xlfn.XLOOKUP(B30,'[11]CEO Salary'!$B$7:$B$64,'[11]CEO Salary'!$E$7:$E$64)</f>
        <v>202632.976</v>
      </c>
      <c r="I30" s="220"/>
    </row>
    <row r="31" spans="1:9" x14ac:dyDescent="0.25">
      <c r="A31" s="188">
        <v>1</v>
      </c>
      <c r="B31" s="146" t="s">
        <v>13</v>
      </c>
      <c r="D31" s="186">
        <f>_xlfn.XLOOKUP(B31,'[11]CEO Salary'!$B$7:$B$64,'[11]CEO Salary'!$D$7:$D$64)</f>
        <v>1</v>
      </c>
      <c r="E31" s="235">
        <f>_xlfn.XLOOKUP(B31,'[11]CEO Salary'!$B$7:$B$64,'[11]CEO Salary'!$E$7:$E$64)</f>
        <v>140679.24</v>
      </c>
      <c r="I31" s="220"/>
    </row>
    <row r="32" spans="1:9" x14ac:dyDescent="0.25">
      <c r="A32" s="188">
        <v>1</v>
      </c>
      <c r="B32" s="146" t="s">
        <v>14</v>
      </c>
      <c r="D32" s="186">
        <f>_xlfn.XLOOKUP(B32,'[11]CEO Salary'!$B$7:$B$64,'[11]CEO Salary'!$D$7:$D$64)</f>
        <v>1</v>
      </c>
      <c r="E32" s="235">
        <f>_xlfn.XLOOKUP(B32,'[11]CEO Salary'!$B$7:$B$64,'[11]CEO Salary'!$E$7:$E$64)</f>
        <v>147127</v>
      </c>
      <c r="I32" s="220"/>
    </row>
    <row r="33" spans="1:9" x14ac:dyDescent="0.25">
      <c r="A33" s="188">
        <v>3</v>
      </c>
      <c r="B33" s="146" t="s">
        <v>44</v>
      </c>
      <c r="D33" s="186">
        <f>_xlfn.XLOOKUP(B33,'[11]CEO Salary'!$B$7:$B$64,'[11]CEO Salary'!$D$7:$D$64)</f>
        <v>1</v>
      </c>
      <c r="E33" s="235">
        <f>_xlfn.XLOOKUP(B33,'[11]CEO Salary'!$B$7:$B$64,'[11]CEO Salary'!$E$7:$E$64)</f>
        <v>227500</v>
      </c>
      <c r="I33" s="220"/>
    </row>
    <row r="34" spans="1:9" x14ac:dyDescent="0.25">
      <c r="A34" s="188">
        <v>2</v>
      </c>
      <c r="B34" s="146" t="s">
        <v>29</v>
      </c>
      <c r="D34" s="186">
        <f>_xlfn.XLOOKUP(B34,'[11]CEO Salary'!$B$7:$B$64,'[11]CEO Salary'!$D$7:$D$64)</f>
        <v>1</v>
      </c>
      <c r="E34" s="235">
        <f>_xlfn.XLOOKUP(B34,'[11]CEO Salary'!$B$7:$B$64,'[11]CEO Salary'!$E$7:$E$64)</f>
        <v>230544</v>
      </c>
      <c r="I34" s="220"/>
    </row>
    <row r="35" spans="1:9" x14ac:dyDescent="0.25">
      <c r="A35" s="188">
        <v>2</v>
      </c>
      <c r="B35" s="146" t="s">
        <v>30</v>
      </c>
      <c r="D35" s="186">
        <f>_xlfn.XLOOKUP(B35,'[11]CEO Salary'!$B$7:$B$64,'[11]CEO Salary'!$D$7:$D$64)</f>
        <v>1</v>
      </c>
      <c r="E35" s="235">
        <f>_xlfn.XLOOKUP(B35,'[11]CEO Salary'!$B$7:$B$64,'[11]CEO Salary'!$E$7:$E$64)</f>
        <v>202707.15</v>
      </c>
      <c r="I35" s="220"/>
    </row>
    <row r="36" spans="1:9" x14ac:dyDescent="0.25">
      <c r="A36" s="188">
        <v>4</v>
      </c>
      <c r="B36" s="146" t="s">
        <v>55</v>
      </c>
      <c r="D36" s="186">
        <f>_xlfn.XLOOKUP(B36,'[11]CEO Salary'!$B$7:$B$64,'[11]CEO Salary'!$D$7:$D$64)</f>
        <v>1</v>
      </c>
      <c r="E36" s="235">
        <f>_xlfn.XLOOKUP(B36,'[11]CEO Salary'!$B$7:$B$64,'[11]CEO Salary'!$E$7:$E$64)</f>
        <v>319329</v>
      </c>
      <c r="I36" s="220"/>
    </row>
    <row r="37" spans="1:9" x14ac:dyDescent="0.25">
      <c r="A37" s="188">
        <v>2</v>
      </c>
      <c r="B37" s="146" t="s">
        <v>31</v>
      </c>
      <c r="D37" s="186">
        <f>_xlfn.XLOOKUP(B37,'[11]CEO Salary'!$B$7:$B$64,'[11]CEO Salary'!$D$7:$D$64)</f>
        <v>1</v>
      </c>
      <c r="E37" s="235">
        <f>_xlfn.XLOOKUP(B37,'[11]CEO Salary'!$B$7:$B$64,'[11]CEO Salary'!$E$7:$E$64)</f>
        <v>258752.04</v>
      </c>
      <c r="I37" s="220"/>
    </row>
    <row r="38" spans="1:9" x14ac:dyDescent="0.25">
      <c r="A38" s="188">
        <v>1</v>
      </c>
      <c r="B38" s="146" t="s">
        <v>15</v>
      </c>
      <c r="D38" s="186">
        <f>_xlfn.XLOOKUP(B38,'[11]CEO Salary'!$B$7:$B$64,'[11]CEO Salary'!$D$7:$D$64)</f>
        <v>2</v>
      </c>
      <c r="E38" s="235">
        <f>_xlfn.XLOOKUP(B38,'[11]CEO Salary'!$B$7:$B$64,'[11]CEO Salary'!$E$7:$E$64)</f>
        <v>160000</v>
      </c>
      <c r="I38" s="220"/>
    </row>
    <row r="39" spans="1:9" x14ac:dyDescent="0.25">
      <c r="A39" s="188">
        <v>4</v>
      </c>
      <c r="B39" s="146" t="s">
        <v>56</v>
      </c>
      <c r="D39" s="186">
        <f>_xlfn.XLOOKUP(B39,'[11]CEO Salary'!$B$7:$B$64,'[11]CEO Salary'!$D$7:$D$64)</f>
        <v>1</v>
      </c>
      <c r="E39" s="235">
        <f>_xlfn.XLOOKUP(B39,'[11]CEO Salary'!$B$7:$B$64,'[11]CEO Salary'!$E$7:$E$64)</f>
        <v>278532.28000000003</v>
      </c>
      <c r="I39" s="220"/>
    </row>
    <row r="40" spans="1:9" x14ac:dyDescent="0.25">
      <c r="A40" s="188">
        <v>4</v>
      </c>
      <c r="B40" s="146" t="s">
        <v>57</v>
      </c>
      <c r="D40" s="186">
        <f>_xlfn.XLOOKUP(B40,'[11]CEO Salary'!$B$7:$B$64,'[11]CEO Salary'!$D$7:$D$64)</f>
        <v>1</v>
      </c>
      <c r="E40" s="235">
        <f>_xlfn.XLOOKUP(B40,'[11]CEO Salary'!$B$7:$B$64,'[11]CEO Salary'!$E$7:$E$64)</f>
        <v>274050</v>
      </c>
      <c r="I40" s="220"/>
    </row>
    <row r="41" spans="1:9" x14ac:dyDescent="0.25">
      <c r="A41" s="188">
        <v>1</v>
      </c>
      <c r="B41" s="146" t="s">
        <v>16</v>
      </c>
      <c r="D41" s="186">
        <f>_xlfn.XLOOKUP(B41,'[11]CEO Salary'!$B$7:$B$64,'[11]CEO Salary'!$D$7:$D$64)</f>
        <v>1</v>
      </c>
      <c r="E41" s="235">
        <f>_xlfn.XLOOKUP(B41,'[11]CEO Salary'!$B$7:$B$64,'[11]CEO Salary'!$E$7:$E$64)</f>
        <v>205504</v>
      </c>
      <c r="I41" s="220"/>
    </row>
    <row r="42" spans="1:9" x14ac:dyDescent="0.25">
      <c r="A42" s="188">
        <v>4</v>
      </c>
      <c r="B42" s="146" t="s">
        <v>58</v>
      </c>
      <c r="D42" s="186">
        <f>_xlfn.XLOOKUP(B42,'[11]CEO Salary'!$B$7:$B$64,'[11]CEO Salary'!$D$7:$D$64)</f>
        <v>1</v>
      </c>
      <c r="E42" s="235">
        <f>_xlfn.XLOOKUP(B42,'[11]CEO Salary'!$B$7:$B$64,'[11]CEO Salary'!$E$7:$E$64)</f>
        <v>303085.36</v>
      </c>
      <c r="I42" s="220"/>
    </row>
    <row r="43" spans="1:9" x14ac:dyDescent="0.25">
      <c r="A43" s="188">
        <v>4</v>
      </c>
      <c r="B43" s="146" t="s">
        <v>59</v>
      </c>
      <c r="D43" s="186">
        <f>_xlfn.XLOOKUP(B43,'[11]CEO Salary'!$B$7:$B$64,'[11]CEO Salary'!$D$7:$D$64)</f>
        <v>1</v>
      </c>
      <c r="E43" s="235">
        <f>_xlfn.XLOOKUP(B43,'[11]CEO Salary'!$B$7:$B$64,'[11]CEO Salary'!$E$7:$E$64)</f>
        <v>320226.09000000003</v>
      </c>
      <c r="I43" s="220"/>
    </row>
    <row r="44" spans="1:9" x14ac:dyDescent="0.25">
      <c r="A44" s="188">
        <v>3</v>
      </c>
      <c r="B44" s="146" t="s">
        <v>60</v>
      </c>
      <c r="D44" s="186">
        <f>_xlfn.XLOOKUP(B44,'[11]CEO Salary'!$B$7:$B$64,'[11]CEO Salary'!$D$7:$D$64)</f>
        <v>1</v>
      </c>
      <c r="E44" s="235">
        <f>_xlfn.XLOOKUP(B44,'[11]CEO Salary'!$B$7:$B$64,'[11]CEO Salary'!$E$7:$E$64)</f>
        <v>266163.80999999907</v>
      </c>
      <c r="I44" s="220"/>
    </row>
    <row r="45" spans="1:9" x14ac:dyDescent="0.25">
      <c r="A45" s="188">
        <v>3</v>
      </c>
      <c r="B45" s="146" t="s">
        <v>45</v>
      </c>
      <c r="D45" s="186">
        <f>_xlfn.XLOOKUP(B45,'[11]CEO Salary'!$B$7:$B$64,'[11]CEO Salary'!$D$7:$D$64)</f>
        <v>1</v>
      </c>
      <c r="E45" s="235">
        <f>_xlfn.XLOOKUP(B45,'[11]CEO Salary'!$B$7:$B$64,'[11]CEO Salary'!$E$7:$E$64)</f>
        <v>267855.18</v>
      </c>
      <c r="I45" s="220"/>
    </row>
    <row r="46" spans="1:9" x14ac:dyDescent="0.25">
      <c r="A46" s="188">
        <v>2</v>
      </c>
      <c r="B46" s="146" t="s">
        <v>32</v>
      </c>
      <c r="D46" s="186">
        <f>_xlfn.XLOOKUP(B46,'[11]CEO Salary'!$B$7:$B$64,'[11]CEO Salary'!$D$7:$D$64)</f>
        <v>1</v>
      </c>
      <c r="E46" s="235">
        <f>_xlfn.XLOOKUP(B46,'[11]CEO Salary'!$B$7:$B$64,'[11]CEO Salary'!$E$7:$E$64)</f>
        <v>239720</v>
      </c>
      <c r="I46" s="220"/>
    </row>
    <row r="47" spans="1:9" x14ac:dyDescent="0.25">
      <c r="A47" s="188">
        <v>3</v>
      </c>
      <c r="B47" s="146" t="s">
        <v>46</v>
      </c>
      <c r="D47" s="186">
        <f>_xlfn.XLOOKUP(B47,'[11]CEO Salary'!$B$7:$B$64,'[11]CEO Salary'!$D$7:$D$64)</f>
        <v>1</v>
      </c>
      <c r="E47" s="235">
        <f>_xlfn.XLOOKUP(B47,'[11]CEO Salary'!$B$7:$B$64,'[11]CEO Salary'!$E$7:$E$64)</f>
        <v>279094.40000000002</v>
      </c>
      <c r="I47" s="220"/>
    </row>
    <row r="48" spans="1:9" x14ac:dyDescent="0.25">
      <c r="A48" s="188">
        <v>3</v>
      </c>
      <c r="B48" s="146" t="s">
        <v>47</v>
      </c>
      <c r="D48" s="186">
        <f>_xlfn.XLOOKUP(B48,'[11]CEO Salary'!$B$7:$B$64,'[11]CEO Salary'!$D$7:$D$64)</f>
        <v>1</v>
      </c>
      <c r="E48" s="235">
        <f>_xlfn.XLOOKUP(B48,'[11]CEO Salary'!$B$7:$B$64,'[11]CEO Salary'!$E$7:$E$64)</f>
        <v>241318.68799999999</v>
      </c>
      <c r="I48" s="220"/>
    </row>
    <row r="49" spans="1:9" x14ac:dyDescent="0.25">
      <c r="A49" s="188">
        <v>4</v>
      </c>
      <c r="B49" s="146" t="s">
        <v>61</v>
      </c>
      <c r="D49" s="186">
        <f>_xlfn.XLOOKUP(B49,'[11]CEO Salary'!$B$7:$B$64,'[11]CEO Salary'!$D$7:$D$64)</f>
        <v>1</v>
      </c>
      <c r="E49" s="235">
        <f>_xlfn.XLOOKUP(B49,'[11]CEO Salary'!$B$7:$B$64,'[11]CEO Salary'!$E$7:$E$64)</f>
        <v>311131.03999999998</v>
      </c>
      <c r="I49" s="220"/>
    </row>
    <row r="50" spans="1:9" x14ac:dyDescent="0.25">
      <c r="A50" s="188">
        <v>2</v>
      </c>
      <c r="B50" s="146" t="s">
        <v>33</v>
      </c>
      <c r="D50" s="186">
        <f>_xlfn.XLOOKUP(B50,'[11]CEO Salary'!$B$7:$B$64,'[11]CEO Salary'!$D$7:$D$64)</f>
        <v>1</v>
      </c>
      <c r="E50" s="235">
        <f>_xlfn.XLOOKUP(B50,'[11]CEO Salary'!$B$7:$B$64,'[11]CEO Salary'!$E$7:$E$64)</f>
        <v>227554.45439999999</v>
      </c>
      <c r="I50" s="220"/>
    </row>
    <row r="51" spans="1:9" x14ac:dyDescent="0.25">
      <c r="A51" s="188">
        <v>2</v>
      </c>
      <c r="B51" s="146" t="s">
        <v>34</v>
      </c>
      <c r="D51" s="186">
        <f>_xlfn.XLOOKUP(B51,'[11]CEO Salary'!$B$7:$B$64,'[11]CEO Salary'!$D$7:$D$64)</f>
        <v>1</v>
      </c>
      <c r="E51" s="235">
        <f>_xlfn.XLOOKUP(B51,'[11]CEO Salary'!$B$7:$B$64,'[11]CEO Salary'!$E$7:$E$64)</f>
        <v>209411.07</v>
      </c>
      <c r="I51" s="220"/>
    </row>
    <row r="52" spans="1:9" x14ac:dyDescent="0.25">
      <c r="A52" s="188">
        <v>1</v>
      </c>
      <c r="B52" s="146" t="s">
        <v>17</v>
      </c>
      <c r="D52" s="186">
        <f>_xlfn.XLOOKUP(B52,'[11]CEO Salary'!$B$7:$B$64,'[11]CEO Salary'!$D$7:$D$64)</f>
        <v>1</v>
      </c>
      <c r="E52" s="235">
        <f>_xlfn.XLOOKUP(B52,'[11]CEO Salary'!$B$7:$B$64,'[11]CEO Salary'!$E$7:$E$64)</f>
        <v>164385</v>
      </c>
      <c r="I52" s="220"/>
    </row>
    <row r="53" spans="1:9" x14ac:dyDescent="0.25">
      <c r="A53" s="188">
        <v>2</v>
      </c>
      <c r="B53" s="146" t="s">
        <v>35</v>
      </c>
      <c r="D53" s="186">
        <f>_xlfn.XLOOKUP(B53,'[11]CEO Salary'!$B$7:$B$64,'[11]CEO Salary'!$D$7:$D$64)</f>
        <v>1</v>
      </c>
      <c r="E53" s="235">
        <f>_xlfn.XLOOKUP(B53,'[11]CEO Salary'!$B$7:$B$64,'[11]CEO Salary'!$E$7:$E$64)</f>
        <v>202707</v>
      </c>
      <c r="I53" s="220"/>
    </row>
    <row r="54" spans="1:9" x14ac:dyDescent="0.25">
      <c r="A54" s="188">
        <v>3</v>
      </c>
      <c r="B54" s="146" t="s">
        <v>48</v>
      </c>
      <c r="D54" s="186">
        <f>_xlfn.XLOOKUP(B54,'[11]CEO Salary'!$B$7:$B$64,'[11]CEO Salary'!$D$7:$D$64)</f>
        <v>1</v>
      </c>
      <c r="E54" s="235">
        <f>_xlfn.XLOOKUP(B54,'[11]CEO Salary'!$B$7:$B$64,'[11]CEO Salary'!$E$7:$E$64)</f>
        <v>242186.36624491803</v>
      </c>
      <c r="I54" s="220"/>
    </row>
    <row r="55" spans="1:9" x14ac:dyDescent="0.25">
      <c r="A55" s="188">
        <v>3</v>
      </c>
      <c r="B55" s="146" t="s">
        <v>49</v>
      </c>
      <c r="D55" s="186">
        <f>_xlfn.XLOOKUP(B55,'[11]CEO Salary'!$B$7:$B$64,'[11]CEO Salary'!$D$7:$D$64)</f>
        <v>1</v>
      </c>
      <c r="E55" s="235">
        <f>_xlfn.XLOOKUP(B55,'[11]CEO Salary'!$B$7:$B$64,'[11]CEO Salary'!$E$7:$E$64)</f>
        <v>228955.19</v>
      </c>
      <c r="I55" s="220"/>
    </row>
    <row r="56" spans="1:9" x14ac:dyDescent="0.25">
      <c r="A56" s="188">
        <v>3</v>
      </c>
      <c r="B56" s="146" t="s">
        <v>50</v>
      </c>
      <c r="D56" s="186">
        <f>_xlfn.XLOOKUP(B56,'[11]CEO Salary'!$B$7:$B$64,'[11]CEO Salary'!$D$7:$D$64)</f>
        <v>1</v>
      </c>
      <c r="E56" s="235">
        <f>_xlfn.XLOOKUP(B56,'[11]CEO Salary'!$B$7:$B$64,'[11]CEO Salary'!$E$7:$E$64)</f>
        <v>250234.2</v>
      </c>
      <c r="I56" s="220"/>
    </row>
    <row r="57" spans="1:9" x14ac:dyDescent="0.25">
      <c r="A57" s="188">
        <v>2</v>
      </c>
      <c r="B57" s="146" t="s">
        <v>36</v>
      </c>
      <c r="D57" s="186">
        <f>_xlfn.XLOOKUP(B57,'[11]CEO Salary'!$B$7:$B$64,'[11]CEO Salary'!$D$7:$D$64)</f>
        <v>1</v>
      </c>
      <c r="E57" s="235">
        <f>_xlfn.XLOOKUP(B57,'[11]CEO Salary'!$B$7:$B$64,'[11]CEO Salary'!$E$7:$E$64)</f>
        <v>206306.88</v>
      </c>
      <c r="I57" s="220"/>
    </row>
    <row r="58" spans="1:9" x14ac:dyDescent="0.25">
      <c r="A58" s="188">
        <v>2</v>
      </c>
      <c r="B58" s="146" t="s">
        <v>37</v>
      </c>
      <c r="D58" s="186">
        <f>_xlfn.XLOOKUP(B58,'[11]CEO Salary'!$B$7:$B$64,'[11]CEO Salary'!$D$7:$D$64)</f>
        <v>1</v>
      </c>
      <c r="E58" s="235">
        <f>_xlfn.XLOOKUP(B58,'[11]CEO Salary'!$B$7:$B$64,'[11]CEO Salary'!$E$7:$E$64)</f>
        <v>204206.79</v>
      </c>
      <c r="I58" s="220"/>
    </row>
    <row r="59" spans="1:9" x14ac:dyDescent="0.25">
      <c r="A59" s="188">
        <v>1</v>
      </c>
      <c r="B59" s="146" t="s">
        <v>18</v>
      </c>
      <c r="D59" s="186">
        <f>_xlfn.XLOOKUP(B59,'[11]CEO Salary'!$B$7:$B$64,'[11]CEO Salary'!$D$7:$D$64)</f>
        <v>1</v>
      </c>
      <c r="E59" s="235">
        <f>_xlfn.XLOOKUP(B59,'[11]CEO Salary'!$B$7:$B$64,'[11]CEO Salary'!$E$7:$E$64)</f>
        <v>165976.79</v>
      </c>
      <c r="I59" s="220"/>
    </row>
    <row r="60" spans="1:9" x14ac:dyDescent="0.25">
      <c r="A60" s="188">
        <v>3</v>
      </c>
      <c r="B60" s="146" t="s">
        <v>51</v>
      </c>
      <c r="D60" s="186">
        <f>_xlfn.XLOOKUP(B60,'[11]CEO Salary'!$B$7:$B$64,'[11]CEO Salary'!$D$7:$D$64)</f>
        <v>1</v>
      </c>
      <c r="E60" s="235">
        <f>_xlfn.XLOOKUP(B60,'[11]CEO Salary'!$B$7:$B$64,'[11]CEO Salary'!$E$7:$E$64)</f>
        <v>227890.58</v>
      </c>
      <c r="I60" s="220"/>
    </row>
    <row r="61" spans="1:9" x14ac:dyDescent="0.25">
      <c r="A61" s="188">
        <v>2</v>
      </c>
      <c r="B61" s="146" t="s">
        <v>38</v>
      </c>
      <c r="D61" s="186">
        <f>_xlfn.XLOOKUP(B61,'[11]CEO Salary'!$B$7:$B$64,'[11]CEO Salary'!$D$7:$D$64)</f>
        <v>1</v>
      </c>
      <c r="E61" s="235">
        <f>_xlfn.XLOOKUP(B61,'[11]CEO Salary'!$B$7:$B$64,'[11]CEO Salary'!$E$7:$E$64)</f>
        <v>180600</v>
      </c>
      <c r="I61" s="220"/>
    </row>
    <row r="62" spans="1:9" x14ac:dyDescent="0.25">
      <c r="A62" s="188">
        <v>3</v>
      </c>
      <c r="B62" s="146" t="s">
        <v>52</v>
      </c>
      <c r="D62" s="186">
        <f>_xlfn.XLOOKUP(B62,'[11]CEO Salary'!$B$7:$B$64,'[11]CEO Salary'!$D$7:$D$64)</f>
        <v>1</v>
      </c>
      <c r="E62" s="235">
        <f>_xlfn.XLOOKUP(B62,'[11]CEO Salary'!$B$7:$B$64,'[11]CEO Salary'!$E$7:$E$64)</f>
        <v>295747.96999999997</v>
      </c>
      <c r="I62" s="220"/>
    </row>
    <row r="63" spans="1:9" x14ac:dyDescent="0.25">
      <c r="A63" s="188">
        <v>2</v>
      </c>
      <c r="B63" s="146" t="s">
        <v>39</v>
      </c>
      <c r="D63" s="186">
        <f>_xlfn.XLOOKUP(B63,'[11]CEO Salary'!$B$7:$B$64,'[11]CEO Salary'!$D$7:$D$64)</f>
        <v>1</v>
      </c>
      <c r="E63" s="235">
        <f>_xlfn.XLOOKUP(B63,'[11]CEO Salary'!$B$7:$B$64,'[11]CEO Salary'!$E$7:$E$64)</f>
        <v>255395.09</v>
      </c>
      <c r="I63" s="220"/>
    </row>
    <row r="64" spans="1:9" x14ac:dyDescent="0.25">
      <c r="A64" s="188">
        <v>2</v>
      </c>
      <c r="B64" s="146" t="s">
        <v>40</v>
      </c>
      <c r="D64" s="186">
        <f>_xlfn.XLOOKUP(B64,'[11]CEO Salary'!$B$7:$B$64,'[11]CEO Salary'!$D$7:$D$64)</f>
        <v>1</v>
      </c>
      <c r="E64" s="235">
        <f>_xlfn.XLOOKUP(B64,'[11]CEO Salary'!$B$7:$B$64,'[11]CEO Salary'!$E$7:$E$64)</f>
        <v>202707.12</v>
      </c>
      <c r="I64" s="220"/>
    </row>
    <row r="65" spans="1:5" ht="15.75" thickBot="1" x14ac:dyDescent="0.3">
      <c r="A65" s="185"/>
      <c r="B65" s="98" t="s">
        <v>174</v>
      </c>
      <c r="D65" s="187">
        <f>SUM(D7:D64)</f>
        <v>59</v>
      </c>
      <c r="E65" s="77">
        <f>SUM(E7:E64)</f>
        <v>12964293.736433225</v>
      </c>
    </row>
    <row r="66" spans="1:5" ht="15.75" thickTop="1" x14ac:dyDescent="0.25"/>
  </sheetData>
  <mergeCells count="13">
    <mergeCell ref="G7:G8"/>
    <mergeCell ref="H7:H8"/>
    <mergeCell ref="D4:E4"/>
    <mergeCell ref="A5:A6"/>
    <mergeCell ref="B5:B6"/>
    <mergeCell ref="G5:G6"/>
    <mergeCell ref="H5:H6"/>
    <mergeCell ref="G9:G10"/>
    <mergeCell ref="H9:H10"/>
    <mergeCell ref="G11:G12"/>
    <mergeCell ref="H11:H12"/>
    <mergeCell ref="G13:G14"/>
    <mergeCell ref="H13:H14"/>
  </mergeCells>
  <printOptions horizontalCentered="1"/>
  <pageMargins left="0.5" right="0.5" top="0.5" bottom="0.5" header="0.3" footer="0.3"/>
  <pageSetup scale="7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Calip, Adrienne</cp:lastModifiedBy>
  <cp:lastPrinted>2018-05-30T16:39:51Z</cp:lastPrinted>
  <dcterms:created xsi:type="dcterms:W3CDTF">2012-06-26T18:06:24Z</dcterms:created>
  <dcterms:modified xsi:type="dcterms:W3CDTF">2025-08-04T17:34:36Z</dcterms:modified>
</cp:coreProperties>
</file>