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24226"/>
  <mc:AlternateContent xmlns:mc="http://schemas.openxmlformats.org/markup-compatibility/2006">
    <mc:Choice Requires="x15">
      <x15ac:absPath xmlns:x15ac="http://schemas.microsoft.com/office/spreadsheetml/2010/11/ac" url="G:\BMS\OCR\Workload Formula\Workload Formula Allocations\2026-27\"/>
    </mc:Choice>
  </mc:AlternateContent>
  <xr:revisionPtr revIDLastSave="0" documentId="13_ncr:1_{46EE0755-CB66-4CFB-960F-B518064986D6}" xr6:coauthVersionLast="47" xr6:coauthVersionMax="47" xr10:uidLastSave="{00000000-0000-0000-0000-000000000000}"/>
  <bookViews>
    <workbookView xWindow="-28920" yWindow="-120" windowWidth="29040" windowHeight="17520" tabRatio="798" firstSheet="1" activeTab="1" xr2:uid="{00000000-000D-0000-FFFF-FFFF00000000}"/>
  </bookViews>
  <sheets>
    <sheet name="README" sheetId="142" state="hidden" r:id="rId1"/>
    <sheet name="WF Need" sheetId="41" r:id="rId2"/>
    <sheet name="BLS" sheetId="73" r:id="rId3"/>
    <sheet name="RAS" sheetId="83" r:id="rId4"/>
    <sheet name="AVG RAS salary" sheetId="80" r:id="rId5"/>
    <sheet name="FTE Allotment Factor" sheetId="72" r:id="rId6"/>
    <sheet name="Program 10" sheetId="143" r:id="rId7"/>
    <sheet name="Program 90" sheetId="146" r:id="rId8"/>
    <sheet name="CEO Salary" sheetId="145" r:id="rId9"/>
    <sheet name="OE&amp;E by Cluster" sheetId="147" r:id="rId10"/>
    <sheet name="AB1058" sheetId="148" r:id="rId11"/>
    <sheet name="Floor Adjustment" sheetId="93" state="hidden" r:id="rId12"/>
    <sheet name="Floors" sheetId="74" state="hidden" r:id="rId13"/>
    <sheet name="SUMMARY" sheetId="141" state="hidden"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Qtr1" localSheetId="11">#REF!</definedName>
    <definedName name="__Qtr1" localSheetId="12">#REF!</definedName>
    <definedName name="__Qtr1" localSheetId="7">#REF!</definedName>
    <definedName name="__Qtr1">#REF!</definedName>
    <definedName name="__Qtr2" localSheetId="11">#REF!</definedName>
    <definedName name="__Qtr2" localSheetId="12">#REF!</definedName>
    <definedName name="__Qtr2" localSheetId="7">#REF!</definedName>
    <definedName name="__Qtr2">#REF!</definedName>
    <definedName name="__Qtr3" localSheetId="11">#REF!</definedName>
    <definedName name="__Qtr3" localSheetId="12">#REF!</definedName>
    <definedName name="__Qtr3" localSheetId="7">#REF!</definedName>
    <definedName name="__Qtr3">#REF!</definedName>
    <definedName name="__Qtr4" localSheetId="11">#REF!</definedName>
    <definedName name="__Qtr4" localSheetId="7">#REF!</definedName>
    <definedName name="__Qtr4">#REF!</definedName>
    <definedName name="_xlnm._FilterDatabase" localSheetId="11" hidden="1">'Floor Adjustment'!$I$1:$I$74</definedName>
    <definedName name="_GoBack" localSheetId="3">RAS!$C$67</definedName>
    <definedName name="_Qtr1" localSheetId="11">#REF!</definedName>
    <definedName name="_Qtr1" localSheetId="7">#REF!</definedName>
    <definedName name="_Qtr1">#REF!</definedName>
    <definedName name="_Qtr2" localSheetId="11">#REF!</definedName>
    <definedName name="_Qtr2" localSheetId="7">#REF!</definedName>
    <definedName name="_Qtr2">#REF!</definedName>
    <definedName name="_Qtr3" localSheetId="11">#REF!</definedName>
    <definedName name="_Qtr3" localSheetId="7">#REF!</definedName>
    <definedName name="_Qtr3">#REF!</definedName>
    <definedName name="_Qtr4" localSheetId="11">#REF!</definedName>
    <definedName name="_Qtr4" localSheetId="7">#REF!</definedName>
    <definedName name="_Qtr4">#REF!</definedName>
    <definedName name="a" localSheetId="11">#REF!</definedName>
    <definedName name="a" localSheetId="7">#REF!</definedName>
    <definedName name="a">#REF!</definedName>
    <definedName name="ACCOUNTEDPERIODTYPE1" localSheetId="11">#REF!</definedName>
    <definedName name="ACCOUNTEDPERIODTYPE1" localSheetId="7">#REF!</definedName>
    <definedName name="ACCOUNTEDPERIODTYPE1">#REF!</definedName>
    <definedName name="ACCOUNTSEGMENT1" localSheetId="11">#REF!</definedName>
    <definedName name="ACCOUNTSEGMENT1" localSheetId="7">#REF!</definedName>
    <definedName name="ACCOUNTSEGMENT1">#REF!</definedName>
    <definedName name="APPSUSERNAME1" localSheetId="11">#REF!</definedName>
    <definedName name="APPSUSERNAME1" localSheetId="7">#REF!</definedName>
    <definedName name="APPSUSERNAME1">#REF!</definedName>
    <definedName name="base_fee_adjustment" localSheetId="11">#REF!</definedName>
    <definedName name="base_fee_adjustment" localSheetId="7">#REF!</definedName>
    <definedName name="base_fee_adjustment">#REF!</definedName>
    <definedName name="BUDGETCURRENCYCODE1" localSheetId="11">#REF!</definedName>
    <definedName name="BUDGETCURRENCYCODE1" localSheetId="7">#REF!</definedName>
    <definedName name="BUDGETCURRENCYCODE1">#REF!</definedName>
    <definedName name="BUDGETDECIMALPLACES1" localSheetId="11">#REF!</definedName>
    <definedName name="BUDGETDECIMALPLACES1" localSheetId="7">#REF!</definedName>
    <definedName name="BUDGETDECIMALPLACES1">#REF!</definedName>
    <definedName name="BUDGETENTITYID1" localSheetId="11">#REF!</definedName>
    <definedName name="BUDGETENTITYID1" localSheetId="7">#REF!</definedName>
    <definedName name="BUDGETENTITYID1">#REF!</definedName>
    <definedName name="BUDGETGRAPHCORRESPONDING1" localSheetId="11">#REF!</definedName>
    <definedName name="BUDGETGRAPHCORRESPONDING1" localSheetId="7">#REF!</definedName>
    <definedName name="BUDGETGRAPHCORRESPONDING1">#REF!</definedName>
    <definedName name="BUDGETGRAPHINCACTUALS1" localSheetId="11">#REF!</definedName>
    <definedName name="BUDGETGRAPHINCACTUALS1" localSheetId="7">#REF!</definedName>
    <definedName name="BUDGETGRAPHINCACTUALS1">#REF!</definedName>
    <definedName name="BUDGETGRAPHINCBUDGETS1" localSheetId="11">#REF!</definedName>
    <definedName name="BUDGETGRAPHINCBUDGETS1" localSheetId="7">#REF!</definedName>
    <definedName name="BUDGETGRAPHINCBUDGETS1">#REF!</definedName>
    <definedName name="BUDGETGRAPHINCTITLES1" localSheetId="11">#REF!</definedName>
    <definedName name="BUDGETGRAPHINCTITLES1" localSheetId="7">#REF!</definedName>
    <definedName name="BUDGETGRAPHINCTITLES1">#REF!</definedName>
    <definedName name="BUDGETGRAPHINCVARIANCES1" localSheetId="11">#REF!</definedName>
    <definedName name="BUDGETGRAPHINCVARIANCES1" localSheetId="7">#REF!</definedName>
    <definedName name="BUDGETGRAPHINCVARIANCES1">#REF!</definedName>
    <definedName name="BUDGETGRAPHSTYLE1" localSheetId="11">#REF!</definedName>
    <definedName name="BUDGETGRAPHSTYLE1" localSheetId="7">#REF!</definedName>
    <definedName name="BUDGETGRAPHSTYLE1">#REF!</definedName>
    <definedName name="BUDGETHEADINGSBACKCOLOUR1" localSheetId="11">#REF!</definedName>
    <definedName name="BUDGETHEADINGSBACKCOLOUR1" localSheetId="7">#REF!</definedName>
    <definedName name="BUDGETHEADINGSBACKCOLOUR1">#REF!</definedName>
    <definedName name="BUDGETHEADINGSFORECOLOUR1" localSheetId="11">#REF!</definedName>
    <definedName name="BUDGETHEADINGSFORECOLOUR1" localSheetId="7">#REF!</definedName>
    <definedName name="BUDGETHEADINGSFORECOLOUR1">#REF!</definedName>
    <definedName name="BUDGETNAME1" localSheetId="11">#REF!</definedName>
    <definedName name="BUDGETNAME1" localSheetId="7">#REF!</definedName>
    <definedName name="BUDGETNAME1">#REF!</definedName>
    <definedName name="BUDGETORG1" localSheetId="11">#REF!</definedName>
    <definedName name="BUDGETORG1" localSheetId="7">#REF!</definedName>
    <definedName name="BUDGETORG1">#REF!</definedName>
    <definedName name="BUDGETORGFROZEN1" localSheetId="11">#REF!</definedName>
    <definedName name="BUDGETORGFROZEN1" localSheetId="7">#REF!</definedName>
    <definedName name="BUDGETORGFROZEN1">#REF!</definedName>
    <definedName name="BUDGETOUTPUTOPTION1" localSheetId="11">#REF!</definedName>
    <definedName name="BUDGETOUTPUTOPTION1" localSheetId="7">#REF!</definedName>
    <definedName name="BUDGETOUTPUTOPTION1">#REF!</definedName>
    <definedName name="BUDGETPASSWORDREQUIREDFLAG1" localSheetId="11">#REF!</definedName>
    <definedName name="BUDGETPASSWORDREQUIREDFLAG1" localSheetId="7">#REF!</definedName>
    <definedName name="BUDGETPASSWORDREQUIREDFLAG1">#REF!</definedName>
    <definedName name="BUDGETSHOWCRITERIASHEET1" localSheetId="11">#REF!</definedName>
    <definedName name="BUDGETSHOWCRITERIASHEET1" localSheetId="7">#REF!</definedName>
    <definedName name="BUDGETSHOWCRITERIASHEET1">#REF!</definedName>
    <definedName name="BUDGETSTATUS1" localSheetId="11">#REF!</definedName>
    <definedName name="BUDGETSTATUS1" localSheetId="7">#REF!</definedName>
    <definedName name="BUDGETSTATUS1">#REF!</definedName>
    <definedName name="BUDGETTITLEBACKCOLOUR1" localSheetId="11">#REF!</definedName>
    <definedName name="BUDGETTITLEBACKCOLOUR1" localSheetId="7">#REF!</definedName>
    <definedName name="BUDGETTITLEBACKCOLOUR1">#REF!</definedName>
    <definedName name="BUDGETTITLEBORDERCOLOUR1" localSheetId="11">#REF!</definedName>
    <definedName name="BUDGETTITLEBORDERCOLOUR1" localSheetId="7">#REF!</definedName>
    <definedName name="BUDGETTITLEBORDERCOLOUR1">#REF!</definedName>
    <definedName name="BUDGETTITLEFORECOLOUR1" localSheetId="11">#REF!</definedName>
    <definedName name="BUDGETTITLEFORECOLOUR1" localSheetId="7">#REF!</definedName>
    <definedName name="BUDGETTITLEFORECOLOUR1">#REF!</definedName>
    <definedName name="BUDGETVALUESWIDTH1" localSheetId="11">#REF!</definedName>
    <definedName name="BUDGETVALUESWIDTH1" localSheetId="7">#REF!</definedName>
    <definedName name="BUDGETVALUESWIDTH1">#REF!</definedName>
    <definedName name="BUDGETVERSIONID1" localSheetId="11">#REF!</definedName>
    <definedName name="BUDGETVERSIONID1" localSheetId="7">#REF!</definedName>
    <definedName name="BUDGETVERSIONID1">#REF!</definedName>
    <definedName name="ccid" localSheetId="11">[1]Instructions!#REF!</definedName>
    <definedName name="ccid" localSheetId="12">[1]Instructions!#REF!</definedName>
    <definedName name="ccid" localSheetId="7">[1]Instructions!#REF!</definedName>
    <definedName name="ccid">[1]Instructions!#REF!</definedName>
    <definedName name="CHARTOFACCOUNTSID1" localSheetId="11">#REF!</definedName>
    <definedName name="CHARTOFACCOUNTSID1" localSheetId="7">#REF!</definedName>
    <definedName name="CHARTOFACCOUNTSID1">#REF!</definedName>
    <definedName name="Code">'[2]Combo Box'!$D$2:$D$21</definedName>
    <definedName name="CONNECTSTRING1" localSheetId="11">#REF!</definedName>
    <definedName name="CONNECTSTRING1" localSheetId="7">#REF!</definedName>
    <definedName name="CONNECTSTRING1">#REF!</definedName>
    <definedName name="Copy_Area" localSheetId="11">#REF!</definedName>
    <definedName name="Copy_Area" localSheetId="7">#REF!</definedName>
    <definedName name="Copy_Area">#REF!</definedName>
    <definedName name="Court">'[2]Combo Box'!$B$2:$B$60</definedName>
    <definedName name="CourtList">[3]Code!$B$1:$B$59</definedName>
    <definedName name="CREATEGRAPH1" localSheetId="11">#REF!</definedName>
    <definedName name="CREATEGRAPH1" localSheetId="7">#REF!</definedName>
    <definedName name="CREATEGRAPH1">#REF!</definedName>
    <definedName name="Data" localSheetId="11">#REF!</definedName>
    <definedName name="Data" localSheetId="7">#REF!</definedName>
    <definedName name="Data">#REF!</definedName>
    <definedName name="DBNAME1" localSheetId="11">#REF!</definedName>
    <definedName name="DBNAME1" localSheetId="7">#REF!</definedName>
    <definedName name="DBNAME1">#REF!</definedName>
    <definedName name="DBUSERNAME1" localSheetId="11">#REF!</definedName>
    <definedName name="DBUSERNAME1" localSheetId="7">#REF!</definedName>
    <definedName name="DBUSERNAME1">#REF!</definedName>
    <definedName name="DELETELOGICTYPE1" localSheetId="11">#REF!</definedName>
    <definedName name="DELETELOGICTYPE1" localSheetId="7">#REF!</definedName>
    <definedName name="DELETELOGICTYPE1">#REF!</definedName>
    <definedName name="ENDPERIODNAME1" localSheetId="11">#REF!</definedName>
    <definedName name="ENDPERIODNAME1" localSheetId="7">#REF!</definedName>
    <definedName name="ENDPERIODNAME1">#REF!</definedName>
    <definedName name="ENDPERIODNUM1" localSheetId="11">#REF!</definedName>
    <definedName name="ENDPERIODNUM1" localSheetId="7">#REF!</definedName>
    <definedName name="ENDPERIODNUM1">#REF!</definedName>
    <definedName name="ENDPERIODYEAR1" localSheetId="11">#REF!</definedName>
    <definedName name="ENDPERIODYEAR1" localSheetId="7">#REF!</definedName>
    <definedName name="ENDPERIODYEAR1">#REF!</definedName>
    <definedName name="exp">[4]expenditure!$A$5:$G$62</definedName>
    <definedName name="FFAPPCOLNAME1_1" localSheetId="11">#REF!</definedName>
    <definedName name="FFAPPCOLNAME1_1" localSheetId="7">#REF!</definedName>
    <definedName name="FFAPPCOLNAME1_1">#REF!</definedName>
    <definedName name="FFAPPCOLNAME2_1" localSheetId="11">#REF!</definedName>
    <definedName name="FFAPPCOLNAME2_1" localSheetId="7">#REF!</definedName>
    <definedName name="FFAPPCOLNAME2_1">#REF!</definedName>
    <definedName name="FFAPPCOLNAME3_1" localSheetId="11">#REF!</definedName>
    <definedName name="FFAPPCOLNAME3_1" localSheetId="7">#REF!</definedName>
    <definedName name="FFAPPCOLNAME3_1">#REF!</definedName>
    <definedName name="FFAPPCOLNAME4_1" localSheetId="11">#REF!</definedName>
    <definedName name="FFAPPCOLNAME4_1" localSheetId="7">#REF!</definedName>
    <definedName name="FFAPPCOLNAME4_1">#REF!</definedName>
    <definedName name="FFAPPCOLNAME5_1" localSheetId="11">#REF!</definedName>
    <definedName name="FFAPPCOLNAME5_1" localSheetId="7">#REF!</definedName>
    <definedName name="FFAPPCOLNAME5_1">#REF!</definedName>
    <definedName name="FFAPPCOLNAME6_1" localSheetId="11">#REF!</definedName>
    <definedName name="FFAPPCOLNAME6_1" localSheetId="7">#REF!</definedName>
    <definedName name="FFAPPCOLNAME6_1">#REF!</definedName>
    <definedName name="FFAPPCOLNAME7_1" localSheetId="11">#REF!</definedName>
    <definedName name="FFAPPCOLNAME7_1" localSheetId="7">#REF!</definedName>
    <definedName name="FFAPPCOLNAME7_1">#REF!</definedName>
    <definedName name="FFAPPCOLNAME8_1" localSheetId="11">#REF!</definedName>
    <definedName name="FFAPPCOLNAME8_1" localSheetId="7">#REF!</definedName>
    <definedName name="FFAPPCOLNAME8_1">#REF!</definedName>
    <definedName name="FFSEGDESC1_1" localSheetId="11">#REF!</definedName>
    <definedName name="FFSEGDESC1_1" localSheetId="7">#REF!</definedName>
    <definedName name="FFSEGDESC1_1">#REF!</definedName>
    <definedName name="FFSEGDESC2_1" localSheetId="11">#REF!</definedName>
    <definedName name="FFSEGDESC2_1" localSheetId="7">#REF!</definedName>
    <definedName name="FFSEGDESC2_1">#REF!</definedName>
    <definedName name="FFSEGDESC3_1" localSheetId="11">#REF!</definedName>
    <definedName name="FFSEGDESC3_1" localSheetId="7">#REF!</definedName>
    <definedName name="FFSEGDESC3_1">#REF!</definedName>
    <definedName name="FFSEGDESC4_1" localSheetId="11">#REF!</definedName>
    <definedName name="FFSEGDESC4_1" localSheetId="7">#REF!</definedName>
    <definedName name="FFSEGDESC4_1">#REF!</definedName>
    <definedName name="FFSEGDESC5_1" localSheetId="11">#REF!</definedName>
    <definedName name="FFSEGDESC5_1" localSheetId="7">#REF!</definedName>
    <definedName name="FFSEGDESC5_1">#REF!</definedName>
    <definedName name="FFSEGDESC6_1" localSheetId="11">#REF!</definedName>
    <definedName name="FFSEGDESC6_1" localSheetId="7">#REF!</definedName>
    <definedName name="FFSEGDESC6_1">#REF!</definedName>
    <definedName name="FFSEGDESC7_1" localSheetId="11">#REF!</definedName>
    <definedName name="FFSEGDESC7_1" localSheetId="7">#REF!</definedName>
    <definedName name="FFSEGDESC7_1">#REF!</definedName>
    <definedName name="FFSEGDESC8_1" localSheetId="11">#REF!</definedName>
    <definedName name="FFSEGDESC8_1" localSheetId="7">#REF!</definedName>
    <definedName name="FFSEGDESC8_1">#REF!</definedName>
    <definedName name="FFSEGMENT1_1" localSheetId="11">#REF!</definedName>
    <definedName name="FFSEGMENT1_1" localSheetId="7">#REF!</definedName>
    <definedName name="FFSEGMENT1_1">#REF!</definedName>
    <definedName name="FFSEGMENT2_1" localSheetId="11">#REF!</definedName>
    <definedName name="FFSEGMENT2_1" localSheetId="7">#REF!</definedName>
    <definedName name="FFSEGMENT2_1">#REF!</definedName>
    <definedName name="FFSEGMENT3_1" localSheetId="11">#REF!</definedName>
    <definedName name="FFSEGMENT3_1" localSheetId="7">#REF!</definedName>
    <definedName name="FFSEGMENT3_1">#REF!</definedName>
    <definedName name="FFSEGMENT4_1" localSheetId="11">#REF!</definedName>
    <definedName name="FFSEGMENT4_1" localSheetId="7">#REF!</definedName>
    <definedName name="FFSEGMENT4_1">#REF!</definedName>
    <definedName name="FFSEGMENT5_1" localSheetId="11">#REF!</definedName>
    <definedName name="FFSEGMENT5_1" localSheetId="7">#REF!</definedName>
    <definedName name="FFSEGMENT5_1">#REF!</definedName>
    <definedName name="FFSEGMENT6_1" localSheetId="11">#REF!</definedName>
    <definedName name="FFSEGMENT6_1" localSheetId="7">#REF!</definedName>
    <definedName name="FFSEGMENT6_1">#REF!</definedName>
    <definedName name="FFSEGMENT7_1" localSheetId="11">#REF!</definedName>
    <definedName name="FFSEGMENT7_1" localSheetId="7">#REF!</definedName>
    <definedName name="FFSEGMENT7_1">#REF!</definedName>
    <definedName name="FFSEGMENT8_1" localSheetId="11">#REF!</definedName>
    <definedName name="FFSEGMENT8_1" localSheetId="7">#REF!</definedName>
    <definedName name="FFSEGMENT8_1">#REF!</definedName>
    <definedName name="FFSEGSEPARATOR1" localSheetId="11">#REF!</definedName>
    <definedName name="FFSEGSEPARATOR1" localSheetId="7">#REF!</definedName>
    <definedName name="FFSEGSEPARATOR1">#REF!</definedName>
    <definedName name="FiscalYear">'[2]Combo Box'!$C$2:$C$9</definedName>
    <definedName name="FNDNAM1" localSheetId="11">#REF!</definedName>
    <definedName name="FNDNAM1" localSheetId="7">#REF!</definedName>
    <definedName name="FNDNAM1">#REF!</definedName>
    <definedName name="FNDUSERID1" localSheetId="11">#REF!</definedName>
    <definedName name="FNDUSERID1" localSheetId="7">#REF!</definedName>
    <definedName name="FNDUSERID1">#REF!</definedName>
    <definedName name="fte" localSheetId="11">#REF!</definedName>
    <definedName name="fte" localSheetId="7">#REF!</definedName>
    <definedName name="fte">#REF!</definedName>
    <definedName name="FUND">'[2]Combo Box'!$A$2:$A$5</definedName>
    <definedName name="GWYUID1" localSheetId="11">#REF!</definedName>
    <definedName name="GWYUID1" localSheetId="7">#REF!</definedName>
    <definedName name="GWYUID1">#REF!</definedName>
    <definedName name="huntington" localSheetId="11">#REF!</definedName>
    <definedName name="huntington" localSheetId="7">#REF!</definedName>
    <definedName name="huntington">#REF!</definedName>
    <definedName name="Jeff___TC145B11" localSheetId="7">#REF!</definedName>
    <definedName name="Jeff___TC145B11">#REF!</definedName>
    <definedName name="Jeff___TC145B11_QueryA" localSheetId="7">#REF!</definedName>
    <definedName name="Jeff___TC145B11_QueryA">#REF!</definedName>
    <definedName name="Jeff_121511a" localSheetId="7">#REF!</definedName>
    <definedName name="Jeff_121511a">#REF!</definedName>
    <definedName name="method2" localSheetId="11">#REF!</definedName>
    <definedName name="method2" localSheetId="7">#REF!</definedName>
    <definedName name="method2">#REF!</definedName>
    <definedName name="NOOFFFSEGMENTS1" localSheetId="11">#REF!</definedName>
    <definedName name="NOOFFFSEGMENTS1" localSheetId="7">#REF!</definedName>
    <definedName name="NOOFFFSEGMENTS1">#REF!</definedName>
    <definedName name="NOOFPERIODS1" localSheetId="11">#REF!</definedName>
    <definedName name="NOOFPERIODS1" localSheetId="7">#REF!</definedName>
    <definedName name="NOOFPERIODS1">#REF!</definedName>
    <definedName name="oee">[4]OEE!$B$4:$C$7</definedName>
    <definedName name="oee_all">[4]OEE!$B$45:$C$48</definedName>
    <definedName name="oee_noneed">[4]OEE!$B$12:$C$15</definedName>
    <definedName name="PERIODSETNAME1" localSheetId="11">#REF!</definedName>
    <definedName name="PERIODSETNAME1" localSheetId="7">#REF!</definedName>
    <definedName name="PERIODSETNAME1">#REF!</definedName>
    <definedName name="PERIODYEAR1" localSheetId="11">#REF!</definedName>
    <definedName name="PERIODYEAR1" localSheetId="7">#REF!</definedName>
    <definedName name="PERIODYEAR1">#REF!</definedName>
    <definedName name="_xlnm.Print_Area" localSheetId="4">'AVG RAS salary'!$A$1:$H$69</definedName>
    <definedName name="_xlnm.Print_Area" localSheetId="2">BLS!$A$1:$I$66</definedName>
    <definedName name="_xlnm.Print_Area" localSheetId="11">'Floor Adjustment'!$A$1:$M$65</definedName>
    <definedName name="_xlnm.Print_Area" localSheetId="12">Floors!$A$1:$G$3</definedName>
    <definedName name="_xlnm.Print_Area" localSheetId="5">'FTE Allotment Factor'!$A$1:$H$70</definedName>
    <definedName name="_xlnm.Print_Area" localSheetId="3">RAS!$A$1:$S$69</definedName>
    <definedName name="Print_Area_MI" localSheetId="11">#REF!</definedName>
    <definedName name="Print_Area_MI" localSheetId="7">#REF!</definedName>
    <definedName name="Print_Area_MI">#REF!</definedName>
    <definedName name="_xlnm.Print_Titles" localSheetId="11">'Floor Adjustment'!$A:$B,'Floor Adjustment'!$4:$5</definedName>
    <definedName name="_xlnm.Print_Titles" localSheetId="5">'FTE Allotment Factor'!$1:$6</definedName>
    <definedName name="_xlnm.Print_Titles" localSheetId="1">'WF Need'!$A:$B,'WF Need'!$4:$6</definedName>
    <definedName name="q" localSheetId="7">'[5]TC145 Template 20140101'!#REF!</definedName>
    <definedName name="q">'[5]TC145 Template 20140101'!#REF!</definedName>
    <definedName name="QtrAll" localSheetId="11">#REF!</definedName>
    <definedName name="QtrAll" localSheetId="12">#REF!</definedName>
    <definedName name="QtrAll" localSheetId="7">#REF!</definedName>
    <definedName name="QtrAll">#REF!</definedName>
    <definedName name="READONLYBACKCOLOUR1" localSheetId="11">#REF!</definedName>
    <definedName name="READONLYBACKCOLOUR1" localSheetId="12">#REF!</definedName>
    <definedName name="READONLYBACKCOLOUR1" localSheetId="7">#REF!</definedName>
    <definedName name="READONLYBACKCOLOUR1">#REF!</definedName>
    <definedName name="READWRITEBACKCOLOUR1" localSheetId="11">#REF!</definedName>
    <definedName name="READWRITEBACKCOLOUR1" localSheetId="7">#REF!</definedName>
    <definedName name="READWRITEBACKCOLOUR1">#REF!</definedName>
    <definedName name="Recover">[6]Macro1!$A$76</definedName>
    <definedName name="ReductionType">'[7]Combo Box'!$A$2:$A$5</definedName>
    <definedName name="REQUIREBUDGETJOURNALSFLAG1" localSheetId="11">#REF!</definedName>
    <definedName name="REQUIREBUDGETJOURNALSFLAG1" localSheetId="12">#REF!</definedName>
    <definedName name="REQUIREBUDGETJOURNALSFLAG1" localSheetId="7">#REF!</definedName>
    <definedName name="REQUIREBUDGETJOURNALSFLAG1">#REF!</definedName>
    <definedName name="RESPONSIBILITYAPPLICATIONID1" localSheetId="11">#REF!</definedName>
    <definedName name="RESPONSIBILITYAPPLICATIONID1" localSheetId="12">#REF!</definedName>
    <definedName name="RESPONSIBILITYAPPLICATIONID1" localSheetId="7">#REF!</definedName>
    <definedName name="RESPONSIBILITYAPPLICATIONID1">#REF!</definedName>
    <definedName name="RESPONSIBILITYID1" localSheetId="11">#REF!</definedName>
    <definedName name="RESPONSIBILITYID1" localSheetId="12">#REF!</definedName>
    <definedName name="RESPONSIBILITYID1" localSheetId="7">#REF!</definedName>
    <definedName name="RESPONSIBILITYID1">#REF!</definedName>
    <definedName name="RESPONSIBILITYNAME1" localSheetId="11">#REF!</definedName>
    <definedName name="RESPONSIBILITYNAME1" localSheetId="7">#REF!</definedName>
    <definedName name="RESPONSIBILITYNAME1">#REF!</definedName>
    <definedName name="ROWSTOUPLOAD1" localSheetId="11">#REF!</definedName>
    <definedName name="ROWSTOUPLOAD1" localSheetId="7">#REF!</definedName>
    <definedName name="ROWSTOUPLOAD1">#REF!</definedName>
    <definedName name="SEG1_DIRECTION1" localSheetId="11">#REF!</definedName>
    <definedName name="SEG1_DIRECTION1" localSheetId="7">#REF!</definedName>
    <definedName name="SEG1_DIRECTION1">#REF!</definedName>
    <definedName name="SEG1_FROM1" localSheetId="11">#REF!</definedName>
    <definedName name="SEG1_FROM1" localSheetId="7">#REF!</definedName>
    <definedName name="SEG1_FROM1">#REF!</definedName>
    <definedName name="SEG1_SORT1" localSheetId="11">#REF!</definedName>
    <definedName name="SEG1_SORT1" localSheetId="7">#REF!</definedName>
    <definedName name="SEG1_SORT1">#REF!</definedName>
    <definedName name="SEG1_TO1" localSheetId="11">#REF!</definedName>
    <definedName name="SEG1_TO1" localSheetId="7">#REF!</definedName>
    <definedName name="SEG1_TO1">#REF!</definedName>
    <definedName name="SEG2_DIRECTION1" localSheetId="11">#REF!</definedName>
    <definedName name="SEG2_DIRECTION1" localSheetId="7">#REF!</definedName>
    <definedName name="SEG2_DIRECTION1">#REF!</definedName>
    <definedName name="SEG2_FROM1" localSheetId="11">#REF!</definedName>
    <definedName name="SEG2_FROM1" localSheetId="7">#REF!</definedName>
    <definedName name="SEG2_FROM1">#REF!</definedName>
    <definedName name="SEG2_SORT1" localSheetId="11">#REF!</definedName>
    <definedName name="SEG2_SORT1" localSheetId="7">#REF!</definedName>
    <definedName name="SEG2_SORT1">#REF!</definedName>
    <definedName name="SEG2_TO1" localSheetId="11">#REF!</definedName>
    <definedName name="SEG2_TO1" localSheetId="7">#REF!</definedName>
    <definedName name="SEG2_TO1">#REF!</definedName>
    <definedName name="SEG3_DIRECTION1" localSheetId="11">#REF!</definedName>
    <definedName name="SEG3_DIRECTION1" localSheetId="7">#REF!</definedName>
    <definedName name="SEG3_DIRECTION1">#REF!</definedName>
    <definedName name="SEG3_FROM1" localSheetId="11">#REF!</definedName>
    <definedName name="SEG3_FROM1" localSheetId="7">#REF!</definedName>
    <definedName name="SEG3_FROM1">#REF!</definedName>
    <definedName name="SEG3_SORT1" localSheetId="11">#REF!</definedName>
    <definedName name="SEG3_SORT1" localSheetId="7">#REF!</definedName>
    <definedName name="SEG3_SORT1">#REF!</definedName>
    <definedName name="SEG3_TO1" localSheetId="11">#REF!</definedName>
    <definedName name="SEG3_TO1" localSheetId="7">#REF!</definedName>
    <definedName name="SEG3_TO1">#REF!</definedName>
    <definedName name="SEG4_DIRECTION1" localSheetId="11">#REF!</definedName>
    <definedName name="SEG4_DIRECTION1" localSheetId="7">#REF!</definedName>
    <definedName name="SEG4_DIRECTION1">#REF!</definedName>
    <definedName name="SEG4_FROM1" localSheetId="11">#REF!</definedName>
    <definedName name="SEG4_FROM1" localSheetId="7">#REF!</definedName>
    <definedName name="SEG4_FROM1">#REF!</definedName>
    <definedName name="SEG4_SORT1" localSheetId="11">#REF!</definedName>
    <definedName name="SEG4_SORT1" localSheetId="7">#REF!</definedName>
    <definedName name="SEG4_SORT1">#REF!</definedName>
    <definedName name="SEG4_TO1" localSheetId="11">#REF!</definedName>
    <definedName name="SEG4_TO1" localSheetId="7">#REF!</definedName>
    <definedName name="SEG4_TO1">#REF!</definedName>
    <definedName name="SEG5_DIRECTION1" localSheetId="11">#REF!</definedName>
    <definedName name="SEG5_DIRECTION1" localSheetId="7">#REF!</definedName>
    <definedName name="SEG5_DIRECTION1">#REF!</definedName>
    <definedName name="SEG5_FROM1" localSheetId="11">#REF!</definedName>
    <definedName name="SEG5_FROM1" localSheetId="7">#REF!</definedName>
    <definedName name="SEG5_FROM1">#REF!</definedName>
    <definedName name="SEG5_SORT1" localSheetId="11">#REF!</definedName>
    <definedName name="SEG5_SORT1" localSheetId="7">#REF!</definedName>
    <definedName name="SEG5_SORT1">#REF!</definedName>
    <definedName name="SEG5_TO1" localSheetId="11">#REF!</definedName>
    <definedName name="SEG5_TO1" localSheetId="7">#REF!</definedName>
    <definedName name="SEG5_TO1">#REF!</definedName>
    <definedName name="SEG6_DIRECTION1" localSheetId="11">#REF!</definedName>
    <definedName name="SEG6_DIRECTION1" localSheetId="7">#REF!</definedName>
    <definedName name="SEG6_DIRECTION1">#REF!</definedName>
    <definedName name="SEG6_FROM1" localSheetId="11">#REF!</definedName>
    <definedName name="SEG6_FROM1" localSheetId="7">#REF!</definedName>
    <definedName name="SEG6_FROM1">#REF!</definedName>
    <definedName name="SEG6_SORT1" localSheetId="11">#REF!</definedName>
    <definedName name="SEG6_SORT1" localSheetId="7">#REF!</definedName>
    <definedName name="SEG6_SORT1">#REF!</definedName>
    <definedName name="SEG6_TO1" localSheetId="11">#REF!</definedName>
    <definedName name="SEG6_TO1" localSheetId="7">#REF!</definedName>
    <definedName name="SEG6_TO1">#REF!</definedName>
    <definedName name="SEG7_DIRECTION1" localSheetId="11">#REF!</definedName>
    <definedName name="SEG7_DIRECTION1" localSheetId="7">#REF!</definedName>
    <definedName name="SEG7_DIRECTION1">#REF!</definedName>
    <definedName name="SEG7_FROM1" localSheetId="11">#REF!</definedName>
    <definedName name="SEG7_FROM1" localSheetId="7">#REF!</definedName>
    <definedName name="SEG7_FROM1">#REF!</definedName>
    <definedName name="SEG7_SORT1" localSheetId="11">#REF!</definedName>
    <definedName name="SEG7_SORT1" localSheetId="7">#REF!</definedName>
    <definedName name="SEG7_SORT1">#REF!</definedName>
    <definedName name="SEG7_TO1" localSheetId="11">#REF!</definedName>
    <definedName name="SEG7_TO1" localSheetId="7">#REF!</definedName>
    <definedName name="SEG7_TO1">#REF!</definedName>
    <definedName name="SEG8_DIRECTION1" localSheetId="11">#REF!</definedName>
    <definedName name="SEG8_DIRECTION1" localSheetId="7">#REF!</definedName>
    <definedName name="SEG8_DIRECTION1">#REF!</definedName>
    <definedName name="SEG8_FROM1" localSheetId="11">#REF!</definedName>
    <definedName name="SEG8_FROM1" localSheetId="7">#REF!</definedName>
    <definedName name="SEG8_FROM1">#REF!</definedName>
    <definedName name="SEG8_SORT1" localSheetId="11">#REF!</definedName>
    <definedName name="SEG8_SORT1" localSheetId="7">#REF!</definedName>
    <definedName name="SEG8_SORT1">#REF!</definedName>
    <definedName name="SEG8_TO1" localSheetId="11">#REF!</definedName>
    <definedName name="SEG8_TO1" localSheetId="7">#REF!</definedName>
    <definedName name="SEG8_TO1">#REF!</definedName>
    <definedName name="SETOFBOOKSID1" localSheetId="11">#REF!</definedName>
    <definedName name="SETOFBOOKSID1" localSheetId="7">#REF!</definedName>
    <definedName name="SETOFBOOKSID1">#REF!</definedName>
    <definedName name="SETOFBOOKSNAME1" localSheetId="11">#REF!</definedName>
    <definedName name="SETOFBOOKSNAME1" localSheetId="7">#REF!</definedName>
    <definedName name="SETOFBOOKSNAME1">#REF!</definedName>
    <definedName name="STARTBUDGETPOST1" localSheetId="11">#REF!</definedName>
    <definedName name="STARTBUDGETPOST1" localSheetId="7">#REF!</definedName>
    <definedName name="STARTBUDGETPOST1">#REF!</definedName>
    <definedName name="STARTPERIODNAME1" localSheetId="11">#REF!</definedName>
    <definedName name="STARTPERIODNAME1" localSheetId="7">#REF!</definedName>
    <definedName name="STARTPERIODNAME1">#REF!</definedName>
    <definedName name="STARTPERIODNUM1" localSheetId="11">#REF!</definedName>
    <definedName name="STARTPERIODNUM1" localSheetId="7">#REF!</definedName>
    <definedName name="STARTPERIODNUM1">#REF!</definedName>
    <definedName name="STARTPERIODYEAR1" localSheetId="11">#REF!</definedName>
    <definedName name="STARTPERIODYEAR1" localSheetId="7">#REF!</definedName>
    <definedName name="STARTPERIODYEAR1">#REF!</definedName>
    <definedName name="SuperiorCourt">'[8]TC-145 Template'!$W$1</definedName>
    <definedName name="TableName">"Dummy"</definedName>
    <definedName name="UPDATELOGICTYPE1" localSheetId="11">#REF!</definedName>
    <definedName name="UPDATELOGICTYPE1" localSheetId="7">#REF!</definedName>
    <definedName name="UPDATELOGICTYPE1">#REF!</definedName>
    <definedName name="xxx">[9]Code!$F$1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2" i="148" l="1"/>
  <c r="C62" i="148"/>
  <c r="D61" i="148"/>
  <c r="C61" i="148"/>
  <c r="D60" i="148"/>
  <c r="C60" i="148"/>
  <c r="D59" i="148"/>
  <c r="C59" i="148"/>
  <c r="D58" i="148"/>
  <c r="C58" i="148"/>
  <c r="D57" i="148"/>
  <c r="C57" i="148"/>
  <c r="D56" i="148"/>
  <c r="C56" i="148"/>
  <c r="D55" i="148"/>
  <c r="C55" i="148"/>
  <c r="D54" i="148"/>
  <c r="C54" i="148"/>
  <c r="D53" i="148"/>
  <c r="C53" i="148"/>
  <c r="D52" i="148"/>
  <c r="C52" i="148"/>
  <c r="D51" i="148"/>
  <c r="C51" i="148"/>
  <c r="D50" i="148"/>
  <c r="C50" i="148"/>
  <c r="D49" i="148"/>
  <c r="C49" i="148"/>
  <c r="D48" i="148"/>
  <c r="C48" i="148"/>
  <c r="D47" i="148"/>
  <c r="C47" i="148"/>
  <c r="D46" i="148"/>
  <c r="C46" i="148"/>
  <c r="D45" i="148"/>
  <c r="C45" i="148"/>
  <c r="D44" i="148"/>
  <c r="C44" i="148"/>
  <c r="D43" i="148"/>
  <c r="C43" i="148"/>
  <c r="D42" i="148"/>
  <c r="C42" i="148"/>
  <c r="D41" i="148"/>
  <c r="C41" i="148"/>
  <c r="D40" i="148"/>
  <c r="C40" i="148"/>
  <c r="D39" i="148"/>
  <c r="C39" i="148"/>
  <c r="D38" i="148"/>
  <c r="C38" i="148"/>
  <c r="D37" i="148"/>
  <c r="C37" i="148"/>
  <c r="D36" i="148"/>
  <c r="C36" i="148"/>
  <c r="D35" i="148"/>
  <c r="C35" i="148"/>
  <c r="D34" i="148"/>
  <c r="C34" i="148"/>
  <c r="D33" i="148"/>
  <c r="C33" i="148"/>
  <c r="D32" i="148"/>
  <c r="C32" i="148"/>
  <c r="D31" i="148"/>
  <c r="C31" i="148"/>
  <c r="D30" i="148"/>
  <c r="C30" i="148"/>
  <c r="D29" i="148"/>
  <c r="C29" i="148"/>
  <c r="D28" i="148"/>
  <c r="C28" i="148"/>
  <c r="D27" i="148"/>
  <c r="C27" i="148"/>
  <c r="D26" i="148"/>
  <c r="C26" i="148"/>
  <c r="D25" i="148"/>
  <c r="C25" i="148"/>
  <c r="D24" i="148"/>
  <c r="C24" i="148"/>
  <c r="D23" i="148"/>
  <c r="C23" i="148"/>
  <c r="D22" i="148"/>
  <c r="C22" i="148"/>
  <c r="D21" i="148"/>
  <c r="C21" i="148"/>
  <c r="D20" i="148"/>
  <c r="C20" i="148"/>
  <c r="D19" i="148"/>
  <c r="C19" i="148"/>
  <c r="D18" i="148"/>
  <c r="C18" i="148"/>
  <c r="D17" i="148"/>
  <c r="C17" i="148"/>
  <c r="D16" i="148"/>
  <c r="C16" i="148"/>
  <c r="D15" i="148"/>
  <c r="C15" i="148"/>
  <c r="D14" i="148"/>
  <c r="C14" i="148"/>
  <c r="D13" i="148"/>
  <c r="C13" i="148"/>
  <c r="D12" i="148"/>
  <c r="C12" i="148"/>
  <c r="D11" i="148"/>
  <c r="C11" i="148"/>
  <c r="D10" i="148"/>
  <c r="C10" i="148"/>
  <c r="D9" i="148"/>
  <c r="C9" i="148"/>
  <c r="D8" i="148"/>
  <c r="C8" i="148"/>
  <c r="D7" i="148"/>
  <c r="C7" i="148"/>
  <c r="D6" i="148"/>
  <c r="C6" i="148"/>
  <c r="D5" i="148"/>
  <c r="C5" i="148"/>
  <c r="B7" i="143" l="1"/>
  <c r="C7" i="147" l="1"/>
  <c r="C8" i="147"/>
  <c r="C9" i="147"/>
  <c r="C6" i="147"/>
  <c r="E64" i="145" l="1"/>
  <c r="E63" i="145"/>
  <c r="E62" i="145"/>
  <c r="E61" i="145"/>
  <c r="E60" i="145"/>
  <c r="E59" i="145"/>
  <c r="E58" i="145"/>
  <c r="E57" i="145"/>
  <c r="E56" i="145"/>
  <c r="E55" i="145"/>
  <c r="E54" i="145"/>
  <c r="E53" i="145"/>
  <c r="E52" i="145"/>
  <c r="E51" i="145"/>
  <c r="E50" i="145"/>
  <c r="E49" i="145"/>
  <c r="E48" i="145"/>
  <c r="E47" i="145"/>
  <c r="E46" i="145"/>
  <c r="E45" i="145"/>
  <c r="E44" i="145"/>
  <c r="E43" i="145"/>
  <c r="E42" i="145"/>
  <c r="E41" i="145"/>
  <c r="E40" i="145"/>
  <c r="E39" i="145"/>
  <c r="E38" i="145"/>
  <c r="E37" i="145"/>
  <c r="E36" i="145"/>
  <c r="E35" i="145"/>
  <c r="E34" i="145"/>
  <c r="E33" i="145"/>
  <c r="E32" i="145"/>
  <c r="E31" i="145"/>
  <c r="E30" i="145"/>
  <c r="E29" i="145"/>
  <c r="E28" i="145"/>
  <c r="E27" i="145"/>
  <c r="E26" i="145"/>
  <c r="E25" i="145"/>
  <c r="E24" i="145"/>
  <c r="E23" i="145"/>
  <c r="E22" i="145"/>
  <c r="E21" i="145"/>
  <c r="E20" i="145"/>
  <c r="E19" i="145"/>
  <c r="E18" i="145"/>
  <c r="E17" i="145"/>
  <c r="E16" i="145"/>
  <c r="E15" i="145"/>
  <c r="E14" i="145"/>
  <c r="E13" i="145"/>
  <c r="E12" i="145"/>
  <c r="E11" i="145"/>
  <c r="E10" i="145"/>
  <c r="E9" i="145"/>
  <c r="E8" i="145"/>
  <c r="E7" i="145"/>
  <c r="D8" i="145"/>
  <c r="D9" i="145"/>
  <c r="D10" i="145"/>
  <c r="D11" i="145"/>
  <c r="D12" i="145"/>
  <c r="D13" i="145"/>
  <c r="D14" i="145"/>
  <c r="D15" i="145"/>
  <c r="D16" i="145"/>
  <c r="D17" i="145"/>
  <c r="D18" i="145"/>
  <c r="D19" i="145"/>
  <c r="D20" i="145"/>
  <c r="D21" i="145"/>
  <c r="D22" i="145"/>
  <c r="D23" i="145"/>
  <c r="D24" i="145"/>
  <c r="D25" i="145"/>
  <c r="D26" i="145"/>
  <c r="D27" i="145"/>
  <c r="D28" i="145"/>
  <c r="D29" i="145"/>
  <c r="D30" i="145"/>
  <c r="D31" i="145"/>
  <c r="D32" i="145"/>
  <c r="D33" i="145"/>
  <c r="D34" i="145"/>
  <c r="D35" i="145"/>
  <c r="D36" i="145"/>
  <c r="D37" i="145"/>
  <c r="D38" i="145"/>
  <c r="D39" i="145"/>
  <c r="D40" i="145"/>
  <c r="D41" i="145"/>
  <c r="D42" i="145"/>
  <c r="D43" i="145"/>
  <c r="D44" i="145"/>
  <c r="D45" i="145"/>
  <c r="D46" i="145"/>
  <c r="D47" i="145"/>
  <c r="D48" i="145"/>
  <c r="D49" i="145"/>
  <c r="D50" i="145"/>
  <c r="D51" i="145"/>
  <c r="D52" i="145"/>
  <c r="D53" i="145"/>
  <c r="D54" i="145"/>
  <c r="D55" i="145"/>
  <c r="D56" i="145"/>
  <c r="D57" i="145"/>
  <c r="D58" i="145"/>
  <c r="D59" i="145"/>
  <c r="D60" i="145"/>
  <c r="D61" i="145"/>
  <c r="D62" i="145"/>
  <c r="D63" i="145"/>
  <c r="D64" i="145"/>
  <c r="D7" i="145"/>
  <c r="E8" i="146"/>
  <c r="E9" i="146"/>
  <c r="E10" i="146"/>
  <c r="E11" i="146"/>
  <c r="E12" i="146"/>
  <c r="E13" i="146"/>
  <c r="E14" i="146"/>
  <c r="E15" i="146"/>
  <c r="E16" i="146"/>
  <c r="E17" i="146"/>
  <c r="E18" i="146"/>
  <c r="E19" i="146"/>
  <c r="E20" i="146"/>
  <c r="E21" i="146"/>
  <c r="E22" i="146"/>
  <c r="E23" i="146"/>
  <c r="E24" i="146"/>
  <c r="E25" i="146"/>
  <c r="E26" i="146"/>
  <c r="E27" i="146"/>
  <c r="E28" i="146"/>
  <c r="E29" i="146"/>
  <c r="E30" i="146"/>
  <c r="E31" i="146"/>
  <c r="E32" i="146"/>
  <c r="E33" i="146"/>
  <c r="E34" i="146"/>
  <c r="E35" i="146"/>
  <c r="E36" i="146"/>
  <c r="E37" i="146"/>
  <c r="E38" i="146"/>
  <c r="E39" i="146"/>
  <c r="E40" i="146"/>
  <c r="E41" i="146"/>
  <c r="E42" i="146"/>
  <c r="E43" i="146"/>
  <c r="E44" i="146"/>
  <c r="E45" i="146"/>
  <c r="E46" i="146"/>
  <c r="E47" i="146"/>
  <c r="E48" i="146"/>
  <c r="E49" i="146"/>
  <c r="E50" i="146"/>
  <c r="E51" i="146"/>
  <c r="E52" i="146"/>
  <c r="E53" i="146"/>
  <c r="E54" i="146"/>
  <c r="E55" i="146"/>
  <c r="E56" i="146"/>
  <c r="E57" i="146"/>
  <c r="E58" i="146"/>
  <c r="E59" i="146"/>
  <c r="E60" i="146"/>
  <c r="E61" i="146"/>
  <c r="E62" i="146"/>
  <c r="E63" i="146"/>
  <c r="E64" i="146"/>
  <c r="E7" i="146"/>
  <c r="D8" i="146"/>
  <c r="D9" i="146"/>
  <c r="D10" i="146"/>
  <c r="D11" i="146"/>
  <c r="D12" i="146"/>
  <c r="D13" i="146"/>
  <c r="D14" i="146"/>
  <c r="D15" i="146"/>
  <c r="D16" i="146"/>
  <c r="D17" i="146"/>
  <c r="D18" i="146"/>
  <c r="D19" i="146"/>
  <c r="D20" i="146"/>
  <c r="D21" i="146"/>
  <c r="D22" i="146"/>
  <c r="D23" i="146"/>
  <c r="D24" i="146"/>
  <c r="D25" i="146"/>
  <c r="D26" i="146"/>
  <c r="D27" i="146"/>
  <c r="D28" i="146"/>
  <c r="D29" i="146"/>
  <c r="D30" i="146"/>
  <c r="D31" i="146"/>
  <c r="D32" i="146"/>
  <c r="D33" i="146"/>
  <c r="D34" i="146"/>
  <c r="D35" i="146"/>
  <c r="D36" i="146"/>
  <c r="D37" i="146"/>
  <c r="D38" i="146"/>
  <c r="D39" i="146"/>
  <c r="D40" i="146"/>
  <c r="D41" i="146"/>
  <c r="D42" i="146"/>
  <c r="D43" i="146"/>
  <c r="D44" i="146"/>
  <c r="D45" i="146"/>
  <c r="D46" i="146"/>
  <c r="D47" i="146"/>
  <c r="D48" i="146"/>
  <c r="D49" i="146"/>
  <c r="D50" i="146"/>
  <c r="D51" i="146"/>
  <c r="D52" i="146"/>
  <c r="D53" i="146"/>
  <c r="D54" i="146"/>
  <c r="D55" i="146"/>
  <c r="D56" i="146"/>
  <c r="D57" i="146"/>
  <c r="D58" i="146"/>
  <c r="D59" i="146"/>
  <c r="D60" i="146"/>
  <c r="D61" i="146"/>
  <c r="D62" i="146"/>
  <c r="D63" i="146"/>
  <c r="D64" i="146"/>
  <c r="D7" i="146"/>
  <c r="C8" i="146"/>
  <c r="C9" i="146"/>
  <c r="C10" i="146"/>
  <c r="C11" i="146"/>
  <c r="C12" i="146"/>
  <c r="C13" i="146"/>
  <c r="C14" i="146"/>
  <c r="C15" i="146"/>
  <c r="C16" i="146"/>
  <c r="C17" i="146"/>
  <c r="C18" i="146"/>
  <c r="C19" i="146"/>
  <c r="C20" i="146"/>
  <c r="C21" i="146"/>
  <c r="C22" i="146"/>
  <c r="C23" i="146"/>
  <c r="C24" i="146"/>
  <c r="C25" i="146"/>
  <c r="C26" i="146"/>
  <c r="C27" i="146"/>
  <c r="C28" i="146"/>
  <c r="C29" i="146"/>
  <c r="C30" i="146"/>
  <c r="C31" i="146"/>
  <c r="C32" i="146"/>
  <c r="C33" i="146"/>
  <c r="C34" i="146"/>
  <c r="C35" i="146"/>
  <c r="C36" i="146"/>
  <c r="C37" i="146"/>
  <c r="C38" i="146"/>
  <c r="C39" i="146"/>
  <c r="C40" i="146"/>
  <c r="C41" i="146"/>
  <c r="C42" i="146"/>
  <c r="C43" i="146"/>
  <c r="C44" i="146"/>
  <c r="C45" i="146"/>
  <c r="C46" i="146"/>
  <c r="C47" i="146"/>
  <c r="C48" i="146"/>
  <c r="C49" i="146"/>
  <c r="C50" i="146"/>
  <c r="C51" i="146"/>
  <c r="C52" i="146"/>
  <c r="C53" i="146"/>
  <c r="C54" i="146"/>
  <c r="C55" i="146"/>
  <c r="C56" i="146"/>
  <c r="C57" i="146"/>
  <c r="C58" i="146"/>
  <c r="C59" i="146"/>
  <c r="C60" i="146"/>
  <c r="C61" i="146"/>
  <c r="C62" i="146"/>
  <c r="C63" i="146"/>
  <c r="C64" i="146"/>
  <c r="C7" i="146"/>
  <c r="B8" i="146"/>
  <c r="B9" i="146"/>
  <c r="B10" i="146"/>
  <c r="B11" i="146"/>
  <c r="B12" i="146"/>
  <c r="B13" i="146"/>
  <c r="B14" i="146"/>
  <c r="B15" i="146"/>
  <c r="B16" i="146"/>
  <c r="B17" i="146"/>
  <c r="B18" i="146"/>
  <c r="B19" i="146"/>
  <c r="B20" i="146"/>
  <c r="B21" i="146"/>
  <c r="B22" i="146"/>
  <c r="B23" i="146"/>
  <c r="B24" i="146"/>
  <c r="B25" i="146"/>
  <c r="B26" i="146"/>
  <c r="B27" i="146"/>
  <c r="B28" i="146"/>
  <c r="B29" i="146"/>
  <c r="B30" i="146"/>
  <c r="B31" i="146"/>
  <c r="B32" i="146"/>
  <c r="B33" i="146"/>
  <c r="B34" i="146"/>
  <c r="B35" i="146"/>
  <c r="B36" i="146"/>
  <c r="B37" i="146"/>
  <c r="B38" i="146"/>
  <c r="B39" i="146"/>
  <c r="B40" i="146"/>
  <c r="B41" i="146"/>
  <c r="B42" i="146"/>
  <c r="B43" i="146"/>
  <c r="B44" i="146"/>
  <c r="B45" i="146"/>
  <c r="B46" i="146"/>
  <c r="B47" i="146"/>
  <c r="B48" i="146"/>
  <c r="B49" i="146"/>
  <c r="B50" i="146"/>
  <c r="B51" i="146"/>
  <c r="B52" i="146"/>
  <c r="B53" i="146"/>
  <c r="B54" i="146"/>
  <c r="B55" i="146"/>
  <c r="B56" i="146"/>
  <c r="B57" i="146"/>
  <c r="B58" i="146"/>
  <c r="B59" i="146"/>
  <c r="B60" i="146"/>
  <c r="B61" i="146"/>
  <c r="B62" i="146"/>
  <c r="B63" i="146"/>
  <c r="B64" i="146"/>
  <c r="B7" i="146"/>
  <c r="E8" i="143"/>
  <c r="E9" i="143"/>
  <c r="E10" i="143"/>
  <c r="E11" i="143"/>
  <c r="E12" i="143"/>
  <c r="E13" i="143"/>
  <c r="E14" i="143"/>
  <c r="E15" i="143"/>
  <c r="E16" i="143"/>
  <c r="E17" i="143"/>
  <c r="E18" i="143"/>
  <c r="E19" i="143"/>
  <c r="E20" i="143"/>
  <c r="E21" i="143"/>
  <c r="E22" i="143"/>
  <c r="E23" i="143"/>
  <c r="E24" i="143"/>
  <c r="E25" i="143"/>
  <c r="E26" i="143"/>
  <c r="E27" i="143"/>
  <c r="E28" i="143"/>
  <c r="E29" i="143"/>
  <c r="E30" i="143"/>
  <c r="E31" i="143"/>
  <c r="E32" i="143"/>
  <c r="E33" i="143"/>
  <c r="E34" i="143"/>
  <c r="E35" i="143"/>
  <c r="E36" i="143"/>
  <c r="E37" i="143"/>
  <c r="E38" i="143"/>
  <c r="E39" i="143"/>
  <c r="E40" i="143"/>
  <c r="E41" i="143"/>
  <c r="E42" i="143"/>
  <c r="E43" i="143"/>
  <c r="E44" i="143"/>
  <c r="E45" i="143"/>
  <c r="E46" i="143"/>
  <c r="E47" i="143"/>
  <c r="E48" i="143"/>
  <c r="E49" i="143"/>
  <c r="E50" i="143"/>
  <c r="E51" i="143"/>
  <c r="E52" i="143"/>
  <c r="E53" i="143"/>
  <c r="E54" i="143"/>
  <c r="E55" i="143"/>
  <c r="E56" i="143"/>
  <c r="E57" i="143"/>
  <c r="E58" i="143"/>
  <c r="E59" i="143"/>
  <c r="E60" i="143"/>
  <c r="E61" i="143"/>
  <c r="E62" i="143"/>
  <c r="E63" i="143"/>
  <c r="E64" i="143"/>
  <c r="E7" i="143"/>
  <c r="D8" i="143"/>
  <c r="D9" i="143"/>
  <c r="D10" i="143"/>
  <c r="D11" i="143"/>
  <c r="D12" i="143"/>
  <c r="D13" i="143"/>
  <c r="D14" i="143"/>
  <c r="D15" i="143"/>
  <c r="D16" i="143"/>
  <c r="D17" i="143"/>
  <c r="D18" i="143"/>
  <c r="D19" i="143"/>
  <c r="D20" i="143"/>
  <c r="D21" i="143"/>
  <c r="D22" i="143"/>
  <c r="D23" i="143"/>
  <c r="D24" i="143"/>
  <c r="D25" i="143"/>
  <c r="D26" i="143"/>
  <c r="D27" i="143"/>
  <c r="D28" i="143"/>
  <c r="D29" i="143"/>
  <c r="D30" i="143"/>
  <c r="D31" i="143"/>
  <c r="D32" i="143"/>
  <c r="D33" i="143"/>
  <c r="D34" i="143"/>
  <c r="D35" i="143"/>
  <c r="D36" i="143"/>
  <c r="D37" i="143"/>
  <c r="D38" i="143"/>
  <c r="D39" i="143"/>
  <c r="D40" i="143"/>
  <c r="D41" i="143"/>
  <c r="D42" i="143"/>
  <c r="D43" i="143"/>
  <c r="D44" i="143"/>
  <c r="D45" i="143"/>
  <c r="D46" i="143"/>
  <c r="D47" i="143"/>
  <c r="D48" i="143"/>
  <c r="D49" i="143"/>
  <c r="D50" i="143"/>
  <c r="D51" i="143"/>
  <c r="D52" i="143"/>
  <c r="D53" i="143"/>
  <c r="D54" i="143"/>
  <c r="D55" i="143"/>
  <c r="D56" i="143"/>
  <c r="D57" i="143"/>
  <c r="D58" i="143"/>
  <c r="D59" i="143"/>
  <c r="D60" i="143"/>
  <c r="D61" i="143"/>
  <c r="D62" i="143"/>
  <c r="D63" i="143"/>
  <c r="D64" i="143"/>
  <c r="D7" i="143"/>
  <c r="C8" i="143"/>
  <c r="C9" i="143"/>
  <c r="C10" i="143"/>
  <c r="C11" i="143"/>
  <c r="C12" i="143"/>
  <c r="C13" i="143"/>
  <c r="C14" i="143"/>
  <c r="C15" i="143"/>
  <c r="C16" i="143"/>
  <c r="C17" i="143"/>
  <c r="C18" i="143"/>
  <c r="C19" i="143"/>
  <c r="C20" i="143"/>
  <c r="C21" i="143"/>
  <c r="C22" i="143"/>
  <c r="C23" i="143"/>
  <c r="C24" i="143"/>
  <c r="C25" i="143"/>
  <c r="C26" i="143"/>
  <c r="C27" i="143"/>
  <c r="C28" i="143"/>
  <c r="C29" i="143"/>
  <c r="C30" i="143"/>
  <c r="C31" i="143"/>
  <c r="C32" i="143"/>
  <c r="C33" i="143"/>
  <c r="C34" i="143"/>
  <c r="C35" i="143"/>
  <c r="C36" i="143"/>
  <c r="C37" i="143"/>
  <c r="C38" i="143"/>
  <c r="C39" i="143"/>
  <c r="C40" i="143"/>
  <c r="C41" i="143"/>
  <c r="C42" i="143"/>
  <c r="C43" i="143"/>
  <c r="C44" i="143"/>
  <c r="C45" i="143"/>
  <c r="C46" i="143"/>
  <c r="C47" i="143"/>
  <c r="C48" i="143"/>
  <c r="C49" i="143"/>
  <c r="C50" i="143"/>
  <c r="C51" i="143"/>
  <c r="C52" i="143"/>
  <c r="C53" i="143"/>
  <c r="C54" i="143"/>
  <c r="C55" i="143"/>
  <c r="C56" i="143"/>
  <c r="C57" i="143"/>
  <c r="C58" i="143"/>
  <c r="C59" i="143"/>
  <c r="C60" i="143"/>
  <c r="C61" i="143"/>
  <c r="C62" i="143"/>
  <c r="C63" i="143"/>
  <c r="C64" i="143"/>
  <c r="C7" i="143"/>
  <c r="B8" i="143"/>
  <c r="B9" i="143"/>
  <c r="B10" i="143"/>
  <c r="B11" i="143"/>
  <c r="B12" i="143"/>
  <c r="B13" i="143"/>
  <c r="B14" i="143"/>
  <c r="B15" i="143"/>
  <c r="B16" i="143"/>
  <c r="B17" i="143"/>
  <c r="B18" i="143"/>
  <c r="B19" i="143"/>
  <c r="B20" i="143"/>
  <c r="B21" i="143"/>
  <c r="B22" i="143"/>
  <c r="B23" i="143"/>
  <c r="B24" i="143"/>
  <c r="B25" i="143"/>
  <c r="B26" i="143"/>
  <c r="B27" i="143"/>
  <c r="B28" i="143"/>
  <c r="B29" i="143"/>
  <c r="B30" i="143"/>
  <c r="B31" i="143"/>
  <c r="B32" i="143"/>
  <c r="B33" i="143"/>
  <c r="B34" i="143"/>
  <c r="B35" i="143"/>
  <c r="B36" i="143"/>
  <c r="B37" i="143"/>
  <c r="B38" i="143"/>
  <c r="B39" i="143"/>
  <c r="B40" i="143"/>
  <c r="B41" i="143"/>
  <c r="B42" i="143"/>
  <c r="B43" i="143"/>
  <c r="B44" i="143"/>
  <c r="B45" i="143"/>
  <c r="B46" i="143"/>
  <c r="B47" i="143"/>
  <c r="B48" i="143"/>
  <c r="B49" i="143"/>
  <c r="B50" i="143"/>
  <c r="B51" i="143"/>
  <c r="B52" i="143"/>
  <c r="B53" i="143"/>
  <c r="B54" i="143"/>
  <c r="B55" i="143"/>
  <c r="B56" i="143"/>
  <c r="B57" i="143"/>
  <c r="B58" i="143"/>
  <c r="B59" i="143"/>
  <c r="B60" i="143"/>
  <c r="B61" i="143"/>
  <c r="B62" i="143"/>
  <c r="B63" i="143"/>
  <c r="B64" i="143"/>
  <c r="S64" i="83" l="1"/>
  <c r="S63" i="83"/>
  <c r="S62" i="83"/>
  <c r="S61" i="83"/>
  <c r="S60" i="83"/>
  <c r="S59" i="83"/>
  <c r="S58" i="83"/>
  <c r="S57" i="83"/>
  <c r="S56" i="83"/>
  <c r="S55" i="83"/>
  <c r="S54" i="83"/>
  <c r="S53" i="83"/>
  <c r="S52" i="83"/>
  <c r="S51" i="83"/>
  <c r="S50" i="83"/>
  <c r="S49" i="83"/>
  <c r="S48" i="83"/>
  <c r="S47" i="83"/>
  <c r="S46" i="83"/>
  <c r="S45" i="83"/>
  <c r="S44" i="83"/>
  <c r="S43" i="83"/>
  <c r="S42" i="83"/>
  <c r="S41" i="83"/>
  <c r="S40" i="83"/>
  <c r="S39" i="83"/>
  <c r="S38" i="83"/>
  <c r="S37" i="83"/>
  <c r="S36" i="83"/>
  <c r="S35" i="83"/>
  <c r="S34" i="83"/>
  <c r="S33" i="83"/>
  <c r="S32" i="83"/>
  <c r="S31" i="83"/>
  <c r="S30" i="83"/>
  <c r="S29" i="83"/>
  <c r="S28" i="83"/>
  <c r="S27" i="83"/>
  <c r="S26" i="83"/>
  <c r="S25" i="83"/>
  <c r="S24" i="83"/>
  <c r="S23" i="83"/>
  <c r="S22" i="83"/>
  <c r="S21" i="83"/>
  <c r="S20" i="83"/>
  <c r="S19" i="83"/>
  <c r="S18" i="83"/>
  <c r="S17" i="83"/>
  <c r="S16" i="83"/>
  <c r="S15" i="83"/>
  <c r="S14" i="83"/>
  <c r="S13" i="83"/>
  <c r="S12" i="83"/>
  <c r="S11" i="83"/>
  <c r="S10" i="83"/>
  <c r="S9" i="83"/>
  <c r="S8" i="83"/>
  <c r="S7" i="83"/>
  <c r="O8" i="83"/>
  <c r="P8" i="83"/>
  <c r="Q8" i="83"/>
  <c r="O9" i="83"/>
  <c r="P9" i="83"/>
  <c r="Q9" i="83"/>
  <c r="O10" i="83"/>
  <c r="P10" i="83"/>
  <c r="Q10" i="83"/>
  <c r="O11" i="83"/>
  <c r="P11" i="83"/>
  <c r="Q11" i="83"/>
  <c r="O12" i="83"/>
  <c r="P12" i="83"/>
  <c r="Q12" i="83"/>
  <c r="O13" i="83"/>
  <c r="P13" i="83"/>
  <c r="Q13" i="83"/>
  <c r="O14" i="83"/>
  <c r="P14" i="83"/>
  <c r="Q14" i="83"/>
  <c r="O15" i="83"/>
  <c r="P15" i="83"/>
  <c r="Q15" i="83"/>
  <c r="O16" i="83"/>
  <c r="P16" i="83"/>
  <c r="Q16" i="83"/>
  <c r="O17" i="83"/>
  <c r="P17" i="83"/>
  <c r="Q17" i="83"/>
  <c r="O18" i="83"/>
  <c r="P18" i="83"/>
  <c r="Q18" i="83"/>
  <c r="O19" i="83"/>
  <c r="P19" i="83"/>
  <c r="Q19" i="83"/>
  <c r="O20" i="83"/>
  <c r="P20" i="83"/>
  <c r="Q20" i="83"/>
  <c r="O21" i="83"/>
  <c r="P21" i="83"/>
  <c r="Q21" i="83"/>
  <c r="O22" i="83"/>
  <c r="P22" i="83"/>
  <c r="Q22" i="83"/>
  <c r="O23" i="83"/>
  <c r="P23" i="83"/>
  <c r="Q23" i="83"/>
  <c r="O24" i="83"/>
  <c r="P24" i="83"/>
  <c r="Q24" i="83"/>
  <c r="O25" i="83"/>
  <c r="P25" i="83"/>
  <c r="Q25" i="83"/>
  <c r="O26" i="83"/>
  <c r="P26" i="83"/>
  <c r="Q26" i="83"/>
  <c r="O27" i="83"/>
  <c r="P27" i="83"/>
  <c r="Q27" i="83"/>
  <c r="O28" i="83"/>
  <c r="P28" i="83"/>
  <c r="Q28" i="83"/>
  <c r="O29" i="83"/>
  <c r="P29" i="83"/>
  <c r="Q29" i="83"/>
  <c r="O30" i="83"/>
  <c r="P30" i="83"/>
  <c r="Q30" i="83"/>
  <c r="O31" i="83"/>
  <c r="P31" i="83"/>
  <c r="Q31" i="83"/>
  <c r="O32" i="83"/>
  <c r="P32" i="83"/>
  <c r="Q32" i="83"/>
  <c r="O33" i="83"/>
  <c r="P33" i="83"/>
  <c r="Q33" i="83"/>
  <c r="O34" i="83"/>
  <c r="P34" i="83"/>
  <c r="Q34" i="83"/>
  <c r="O35" i="83"/>
  <c r="P35" i="83"/>
  <c r="Q35" i="83"/>
  <c r="O36" i="83"/>
  <c r="P36" i="83"/>
  <c r="Q36" i="83"/>
  <c r="O37" i="83"/>
  <c r="P37" i="83"/>
  <c r="Q37" i="83"/>
  <c r="O38" i="83"/>
  <c r="P38" i="83"/>
  <c r="Q38" i="83"/>
  <c r="O39" i="83"/>
  <c r="P39" i="83"/>
  <c r="Q39" i="83"/>
  <c r="O40" i="83"/>
  <c r="P40" i="83"/>
  <c r="Q40" i="83"/>
  <c r="O41" i="83"/>
  <c r="P41" i="83"/>
  <c r="Q41" i="83"/>
  <c r="O42" i="83"/>
  <c r="P42" i="83"/>
  <c r="Q42" i="83"/>
  <c r="O43" i="83"/>
  <c r="P43" i="83"/>
  <c r="Q43" i="83"/>
  <c r="O44" i="83"/>
  <c r="P44" i="83"/>
  <c r="Q44" i="83"/>
  <c r="O45" i="83"/>
  <c r="P45" i="83"/>
  <c r="Q45" i="83"/>
  <c r="O46" i="83"/>
  <c r="P46" i="83"/>
  <c r="Q46" i="83"/>
  <c r="O47" i="83"/>
  <c r="P47" i="83"/>
  <c r="Q47" i="83"/>
  <c r="O48" i="83"/>
  <c r="P48" i="83"/>
  <c r="Q48" i="83"/>
  <c r="O49" i="83"/>
  <c r="P49" i="83"/>
  <c r="Q49" i="83"/>
  <c r="O50" i="83"/>
  <c r="P50" i="83"/>
  <c r="Q50" i="83"/>
  <c r="O51" i="83"/>
  <c r="P51" i="83"/>
  <c r="Q51" i="83"/>
  <c r="O52" i="83"/>
  <c r="P52" i="83"/>
  <c r="Q52" i="83"/>
  <c r="O53" i="83"/>
  <c r="P53" i="83"/>
  <c r="Q53" i="83"/>
  <c r="O54" i="83"/>
  <c r="P54" i="83"/>
  <c r="Q54" i="83"/>
  <c r="O55" i="83"/>
  <c r="P55" i="83"/>
  <c r="Q55" i="83"/>
  <c r="O56" i="83"/>
  <c r="P56" i="83"/>
  <c r="Q56" i="83"/>
  <c r="O57" i="83"/>
  <c r="P57" i="83"/>
  <c r="Q57" i="83"/>
  <c r="O58" i="83"/>
  <c r="P58" i="83"/>
  <c r="Q58" i="83"/>
  <c r="O59" i="83"/>
  <c r="P59" i="83"/>
  <c r="Q59" i="83"/>
  <c r="O60" i="83"/>
  <c r="P60" i="83"/>
  <c r="Q60" i="83"/>
  <c r="O61" i="83"/>
  <c r="P61" i="83"/>
  <c r="Q61" i="83"/>
  <c r="O62" i="83"/>
  <c r="P62" i="83"/>
  <c r="Q62" i="83"/>
  <c r="O63" i="83"/>
  <c r="P63" i="83"/>
  <c r="Q63" i="83"/>
  <c r="O64" i="83"/>
  <c r="P64" i="83"/>
  <c r="Q64" i="83"/>
  <c r="Q7" i="83"/>
  <c r="P7" i="83"/>
  <c r="O7" i="83"/>
  <c r="M64" i="83"/>
  <c r="L64" i="83"/>
  <c r="K64" i="83"/>
  <c r="J64" i="83"/>
  <c r="I64" i="83"/>
  <c r="H64" i="83"/>
  <c r="G64" i="83"/>
  <c r="F64" i="83"/>
  <c r="E64" i="83"/>
  <c r="D64" i="83"/>
  <c r="M63" i="83"/>
  <c r="L63" i="83"/>
  <c r="K63" i="83"/>
  <c r="J63" i="83"/>
  <c r="I63" i="83"/>
  <c r="H63" i="83"/>
  <c r="G63" i="83"/>
  <c r="F63" i="83"/>
  <c r="E63" i="83"/>
  <c r="D63" i="83"/>
  <c r="M62" i="83"/>
  <c r="L62" i="83"/>
  <c r="K62" i="83"/>
  <c r="J62" i="83"/>
  <c r="I62" i="83"/>
  <c r="H62" i="83"/>
  <c r="G62" i="83"/>
  <c r="F62" i="83"/>
  <c r="E62" i="83"/>
  <c r="D62" i="83"/>
  <c r="M61" i="83"/>
  <c r="L61" i="83"/>
  <c r="K61" i="83"/>
  <c r="J61" i="83"/>
  <c r="I61" i="83"/>
  <c r="H61" i="83"/>
  <c r="G61" i="83"/>
  <c r="F61" i="83"/>
  <c r="E61" i="83"/>
  <c r="D61" i="83"/>
  <c r="M60" i="83"/>
  <c r="L60" i="83"/>
  <c r="K60" i="83"/>
  <c r="J60" i="83"/>
  <c r="I60" i="83"/>
  <c r="H60" i="83"/>
  <c r="G60" i="83"/>
  <c r="F60" i="83"/>
  <c r="E60" i="83"/>
  <c r="D60" i="83"/>
  <c r="M59" i="83"/>
  <c r="L59" i="83"/>
  <c r="K59" i="83"/>
  <c r="J59" i="83"/>
  <c r="I59" i="83"/>
  <c r="H59" i="83"/>
  <c r="G59" i="83"/>
  <c r="F59" i="83"/>
  <c r="E59" i="83"/>
  <c r="D59" i="83"/>
  <c r="M58" i="83"/>
  <c r="L58" i="83"/>
  <c r="K58" i="83"/>
  <c r="J58" i="83"/>
  <c r="I58" i="83"/>
  <c r="H58" i="83"/>
  <c r="G58" i="83"/>
  <c r="F58" i="83"/>
  <c r="E58" i="83"/>
  <c r="D58" i="83"/>
  <c r="M57" i="83"/>
  <c r="L57" i="83"/>
  <c r="K57" i="83"/>
  <c r="J57" i="83"/>
  <c r="I57" i="83"/>
  <c r="H57" i="83"/>
  <c r="G57" i="83"/>
  <c r="F57" i="83"/>
  <c r="E57" i="83"/>
  <c r="D57" i="83"/>
  <c r="M56" i="83"/>
  <c r="L56" i="83"/>
  <c r="K56" i="83"/>
  <c r="J56" i="83"/>
  <c r="I56" i="83"/>
  <c r="H56" i="83"/>
  <c r="G56" i="83"/>
  <c r="F56" i="83"/>
  <c r="E56" i="83"/>
  <c r="D56" i="83"/>
  <c r="M55" i="83"/>
  <c r="L55" i="83"/>
  <c r="K55" i="83"/>
  <c r="J55" i="83"/>
  <c r="I55" i="83"/>
  <c r="H55" i="83"/>
  <c r="G55" i="83"/>
  <c r="F55" i="83"/>
  <c r="E55" i="83"/>
  <c r="D55" i="83"/>
  <c r="M54" i="83"/>
  <c r="L54" i="83"/>
  <c r="K54" i="83"/>
  <c r="J54" i="83"/>
  <c r="I54" i="83"/>
  <c r="H54" i="83"/>
  <c r="G54" i="83"/>
  <c r="F54" i="83"/>
  <c r="E54" i="83"/>
  <c r="D54" i="83"/>
  <c r="M53" i="83"/>
  <c r="L53" i="83"/>
  <c r="K53" i="83"/>
  <c r="J53" i="83"/>
  <c r="I53" i="83"/>
  <c r="H53" i="83"/>
  <c r="G53" i="83"/>
  <c r="F53" i="83"/>
  <c r="E53" i="83"/>
  <c r="D53" i="83"/>
  <c r="M52" i="83"/>
  <c r="L52" i="83"/>
  <c r="K52" i="83"/>
  <c r="J52" i="83"/>
  <c r="I52" i="83"/>
  <c r="H52" i="83"/>
  <c r="G52" i="83"/>
  <c r="F52" i="83"/>
  <c r="E52" i="83"/>
  <c r="D52" i="83"/>
  <c r="M51" i="83"/>
  <c r="L51" i="83"/>
  <c r="K51" i="83"/>
  <c r="J51" i="83"/>
  <c r="I51" i="83"/>
  <c r="H51" i="83"/>
  <c r="G51" i="83"/>
  <c r="F51" i="83"/>
  <c r="E51" i="83"/>
  <c r="D51" i="83"/>
  <c r="M50" i="83"/>
  <c r="L50" i="83"/>
  <c r="K50" i="83"/>
  <c r="J50" i="83"/>
  <c r="I50" i="83"/>
  <c r="H50" i="83"/>
  <c r="G50" i="83"/>
  <c r="F50" i="83"/>
  <c r="E50" i="83"/>
  <c r="D50" i="83"/>
  <c r="M49" i="83"/>
  <c r="L49" i="83"/>
  <c r="K49" i="83"/>
  <c r="J49" i="83"/>
  <c r="I49" i="83"/>
  <c r="H49" i="83"/>
  <c r="G49" i="83"/>
  <c r="F49" i="83"/>
  <c r="E49" i="83"/>
  <c r="D49" i="83"/>
  <c r="M48" i="83"/>
  <c r="L48" i="83"/>
  <c r="K48" i="83"/>
  <c r="J48" i="83"/>
  <c r="I48" i="83"/>
  <c r="H48" i="83"/>
  <c r="G48" i="83"/>
  <c r="F48" i="83"/>
  <c r="E48" i="83"/>
  <c r="D48" i="83"/>
  <c r="M47" i="83"/>
  <c r="L47" i="83"/>
  <c r="K47" i="83"/>
  <c r="J47" i="83"/>
  <c r="I47" i="83"/>
  <c r="H47" i="83"/>
  <c r="G47" i="83"/>
  <c r="F47" i="83"/>
  <c r="E47" i="83"/>
  <c r="D47" i="83"/>
  <c r="M46" i="83"/>
  <c r="L46" i="83"/>
  <c r="K46" i="83"/>
  <c r="J46" i="83"/>
  <c r="I46" i="83"/>
  <c r="H46" i="83"/>
  <c r="G46" i="83"/>
  <c r="F46" i="83"/>
  <c r="E46" i="83"/>
  <c r="D46" i="83"/>
  <c r="M45" i="83"/>
  <c r="L45" i="83"/>
  <c r="K45" i="83"/>
  <c r="J45" i="83"/>
  <c r="I45" i="83"/>
  <c r="H45" i="83"/>
  <c r="G45" i="83"/>
  <c r="F45" i="83"/>
  <c r="E45" i="83"/>
  <c r="D45" i="83"/>
  <c r="M44" i="83"/>
  <c r="L44" i="83"/>
  <c r="K44" i="83"/>
  <c r="J44" i="83"/>
  <c r="I44" i="83"/>
  <c r="H44" i="83"/>
  <c r="G44" i="83"/>
  <c r="F44" i="83"/>
  <c r="E44" i="83"/>
  <c r="D44" i="83"/>
  <c r="M43" i="83"/>
  <c r="L43" i="83"/>
  <c r="K43" i="83"/>
  <c r="J43" i="83"/>
  <c r="I43" i="83"/>
  <c r="H43" i="83"/>
  <c r="G43" i="83"/>
  <c r="F43" i="83"/>
  <c r="E43" i="83"/>
  <c r="D43" i="83"/>
  <c r="M42" i="83"/>
  <c r="L42" i="83"/>
  <c r="K42" i="83"/>
  <c r="J42" i="83"/>
  <c r="I42" i="83"/>
  <c r="H42" i="83"/>
  <c r="G42" i="83"/>
  <c r="F42" i="83"/>
  <c r="E42" i="83"/>
  <c r="D42" i="83"/>
  <c r="M41" i="83"/>
  <c r="L41" i="83"/>
  <c r="K41" i="83"/>
  <c r="J41" i="83"/>
  <c r="I41" i="83"/>
  <c r="H41" i="83"/>
  <c r="G41" i="83"/>
  <c r="F41" i="83"/>
  <c r="E41" i="83"/>
  <c r="D41" i="83"/>
  <c r="M40" i="83"/>
  <c r="L40" i="83"/>
  <c r="K40" i="83"/>
  <c r="J40" i="83"/>
  <c r="I40" i="83"/>
  <c r="H40" i="83"/>
  <c r="G40" i="83"/>
  <c r="F40" i="83"/>
  <c r="E40" i="83"/>
  <c r="D40" i="83"/>
  <c r="M39" i="83"/>
  <c r="L39" i="83"/>
  <c r="K39" i="83"/>
  <c r="J39" i="83"/>
  <c r="I39" i="83"/>
  <c r="H39" i="83"/>
  <c r="G39" i="83"/>
  <c r="F39" i="83"/>
  <c r="E39" i="83"/>
  <c r="D39" i="83"/>
  <c r="M38" i="83"/>
  <c r="L38" i="83"/>
  <c r="K38" i="83"/>
  <c r="J38" i="83"/>
  <c r="I38" i="83"/>
  <c r="H38" i="83"/>
  <c r="G38" i="83"/>
  <c r="F38" i="83"/>
  <c r="E38" i="83"/>
  <c r="D38" i="83"/>
  <c r="M37" i="83"/>
  <c r="L37" i="83"/>
  <c r="K37" i="83"/>
  <c r="J37" i="83"/>
  <c r="I37" i="83"/>
  <c r="H37" i="83"/>
  <c r="G37" i="83"/>
  <c r="F37" i="83"/>
  <c r="E37" i="83"/>
  <c r="D37" i="83"/>
  <c r="M36" i="83"/>
  <c r="L36" i="83"/>
  <c r="K36" i="83"/>
  <c r="J36" i="83"/>
  <c r="I36" i="83"/>
  <c r="H36" i="83"/>
  <c r="G36" i="83"/>
  <c r="F36" i="83"/>
  <c r="E36" i="83"/>
  <c r="D36" i="83"/>
  <c r="M35" i="83"/>
  <c r="L35" i="83"/>
  <c r="K35" i="83"/>
  <c r="J35" i="83"/>
  <c r="I35" i="83"/>
  <c r="H35" i="83"/>
  <c r="G35" i="83"/>
  <c r="F35" i="83"/>
  <c r="E35" i="83"/>
  <c r="D35" i="83"/>
  <c r="M34" i="83"/>
  <c r="L34" i="83"/>
  <c r="K34" i="83"/>
  <c r="J34" i="83"/>
  <c r="I34" i="83"/>
  <c r="H34" i="83"/>
  <c r="G34" i="83"/>
  <c r="F34" i="83"/>
  <c r="E34" i="83"/>
  <c r="D34" i="83"/>
  <c r="M33" i="83"/>
  <c r="L33" i="83"/>
  <c r="K33" i="83"/>
  <c r="J33" i="83"/>
  <c r="I33" i="83"/>
  <c r="H33" i="83"/>
  <c r="G33" i="83"/>
  <c r="F33" i="83"/>
  <c r="E33" i="83"/>
  <c r="D33" i="83"/>
  <c r="M32" i="83"/>
  <c r="L32" i="83"/>
  <c r="K32" i="83"/>
  <c r="J32" i="83"/>
  <c r="I32" i="83"/>
  <c r="H32" i="83"/>
  <c r="G32" i="83"/>
  <c r="F32" i="83"/>
  <c r="E32" i="83"/>
  <c r="D32" i="83"/>
  <c r="M31" i="83"/>
  <c r="L31" i="83"/>
  <c r="K31" i="83"/>
  <c r="J31" i="83"/>
  <c r="I31" i="83"/>
  <c r="H31" i="83"/>
  <c r="G31" i="83"/>
  <c r="F31" i="83"/>
  <c r="E31" i="83"/>
  <c r="D31" i="83"/>
  <c r="M30" i="83"/>
  <c r="L30" i="83"/>
  <c r="K30" i="83"/>
  <c r="J30" i="83"/>
  <c r="I30" i="83"/>
  <c r="H30" i="83"/>
  <c r="G30" i="83"/>
  <c r="F30" i="83"/>
  <c r="E30" i="83"/>
  <c r="D30" i="83"/>
  <c r="M29" i="83"/>
  <c r="L29" i="83"/>
  <c r="K29" i="83"/>
  <c r="J29" i="83"/>
  <c r="I29" i="83"/>
  <c r="H29" i="83"/>
  <c r="G29" i="83"/>
  <c r="F29" i="83"/>
  <c r="E29" i="83"/>
  <c r="D29" i="83"/>
  <c r="M28" i="83"/>
  <c r="L28" i="83"/>
  <c r="K28" i="83"/>
  <c r="J28" i="83"/>
  <c r="I28" i="83"/>
  <c r="H28" i="83"/>
  <c r="G28" i="83"/>
  <c r="F28" i="83"/>
  <c r="E28" i="83"/>
  <c r="D28" i="83"/>
  <c r="M27" i="83"/>
  <c r="L27" i="83"/>
  <c r="K27" i="83"/>
  <c r="J27" i="83"/>
  <c r="I27" i="83"/>
  <c r="H27" i="83"/>
  <c r="G27" i="83"/>
  <c r="F27" i="83"/>
  <c r="E27" i="83"/>
  <c r="D27" i="83"/>
  <c r="M26" i="83"/>
  <c r="L26" i="83"/>
  <c r="K26" i="83"/>
  <c r="J26" i="83"/>
  <c r="I26" i="83"/>
  <c r="H26" i="83"/>
  <c r="G26" i="83"/>
  <c r="F26" i="83"/>
  <c r="E26" i="83"/>
  <c r="D26" i="83"/>
  <c r="M25" i="83"/>
  <c r="L25" i="83"/>
  <c r="K25" i="83"/>
  <c r="J25" i="83"/>
  <c r="I25" i="83"/>
  <c r="H25" i="83"/>
  <c r="G25" i="83"/>
  <c r="F25" i="83"/>
  <c r="E25" i="83"/>
  <c r="D25" i="83"/>
  <c r="M24" i="83"/>
  <c r="L24" i="83"/>
  <c r="K24" i="83"/>
  <c r="J24" i="83"/>
  <c r="I24" i="83"/>
  <c r="H24" i="83"/>
  <c r="G24" i="83"/>
  <c r="F24" i="83"/>
  <c r="E24" i="83"/>
  <c r="D24" i="83"/>
  <c r="M23" i="83"/>
  <c r="L23" i="83"/>
  <c r="K23" i="83"/>
  <c r="J23" i="83"/>
  <c r="I23" i="83"/>
  <c r="H23" i="83"/>
  <c r="G23" i="83"/>
  <c r="F23" i="83"/>
  <c r="E23" i="83"/>
  <c r="D23" i="83"/>
  <c r="M22" i="83"/>
  <c r="L22" i="83"/>
  <c r="K22" i="83"/>
  <c r="J22" i="83"/>
  <c r="I22" i="83"/>
  <c r="H22" i="83"/>
  <c r="G22" i="83"/>
  <c r="F22" i="83"/>
  <c r="E22" i="83"/>
  <c r="D22" i="83"/>
  <c r="M21" i="83"/>
  <c r="L21" i="83"/>
  <c r="K21" i="83"/>
  <c r="J21" i="83"/>
  <c r="I21" i="83"/>
  <c r="H21" i="83"/>
  <c r="G21" i="83"/>
  <c r="F21" i="83"/>
  <c r="E21" i="83"/>
  <c r="D21" i="83"/>
  <c r="M20" i="83"/>
  <c r="L20" i="83"/>
  <c r="K20" i="83"/>
  <c r="J20" i="83"/>
  <c r="I20" i="83"/>
  <c r="H20" i="83"/>
  <c r="G20" i="83"/>
  <c r="F20" i="83"/>
  <c r="E20" i="83"/>
  <c r="D20" i="83"/>
  <c r="M19" i="83"/>
  <c r="L19" i="83"/>
  <c r="K19" i="83"/>
  <c r="J19" i="83"/>
  <c r="I19" i="83"/>
  <c r="H19" i="83"/>
  <c r="G19" i="83"/>
  <c r="F19" i="83"/>
  <c r="E19" i="83"/>
  <c r="D19" i="83"/>
  <c r="M18" i="83"/>
  <c r="L18" i="83"/>
  <c r="K18" i="83"/>
  <c r="J18" i="83"/>
  <c r="I18" i="83"/>
  <c r="H18" i="83"/>
  <c r="G18" i="83"/>
  <c r="F18" i="83"/>
  <c r="E18" i="83"/>
  <c r="D18" i="83"/>
  <c r="M17" i="83"/>
  <c r="L17" i="83"/>
  <c r="K17" i="83"/>
  <c r="J17" i="83"/>
  <c r="I17" i="83"/>
  <c r="H17" i="83"/>
  <c r="G17" i="83"/>
  <c r="F17" i="83"/>
  <c r="E17" i="83"/>
  <c r="D17" i="83"/>
  <c r="M16" i="83"/>
  <c r="L16" i="83"/>
  <c r="K16" i="83"/>
  <c r="J16" i="83"/>
  <c r="I16" i="83"/>
  <c r="H16" i="83"/>
  <c r="G16" i="83"/>
  <c r="F16" i="83"/>
  <c r="E16" i="83"/>
  <c r="D16" i="83"/>
  <c r="M15" i="83"/>
  <c r="L15" i="83"/>
  <c r="K15" i="83"/>
  <c r="J15" i="83"/>
  <c r="I15" i="83"/>
  <c r="H15" i="83"/>
  <c r="G15" i="83"/>
  <c r="F15" i="83"/>
  <c r="E15" i="83"/>
  <c r="D15" i="83"/>
  <c r="M14" i="83"/>
  <c r="L14" i="83"/>
  <c r="K14" i="83"/>
  <c r="J14" i="83"/>
  <c r="I14" i="83"/>
  <c r="H14" i="83"/>
  <c r="G14" i="83"/>
  <c r="F14" i="83"/>
  <c r="E14" i="83"/>
  <c r="D14" i="83"/>
  <c r="M13" i="83"/>
  <c r="L13" i="83"/>
  <c r="K13" i="83"/>
  <c r="J13" i="83"/>
  <c r="I13" i="83"/>
  <c r="H13" i="83"/>
  <c r="G13" i="83"/>
  <c r="F13" i="83"/>
  <c r="E13" i="83"/>
  <c r="D13" i="83"/>
  <c r="M12" i="83"/>
  <c r="L12" i="83"/>
  <c r="K12" i="83"/>
  <c r="J12" i="83"/>
  <c r="I12" i="83"/>
  <c r="H12" i="83"/>
  <c r="G12" i="83"/>
  <c r="F12" i="83"/>
  <c r="E12" i="83"/>
  <c r="D12" i="83"/>
  <c r="M11" i="83"/>
  <c r="L11" i="83"/>
  <c r="K11" i="83"/>
  <c r="J11" i="83"/>
  <c r="I11" i="83"/>
  <c r="H11" i="83"/>
  <c r="G11" i="83"/>
  <c r="F11" i="83"/>
  <c r="E11" i="83"/>
  <c r="D11" i="83"/>
  <c r="M10" i="83"/>
  <c r="L10" i="83"/>
  <c r="K10" i="83"/>
  <c r="J10" i="83"/>
  <c r="I10" i="83"/>
  <c r="H10" i="83"/>
  <c r="G10" i="83"/>
  <c r="F10" i="83"/>
  <c r="E10" i="83"/>
  <c r="D10" i="83"/>
  <c r="M9" i="83"/>
  <c r="L9" i="83"/>
  <c r="K9" i="83"/>
  <c r="J9" i="83"/>
  <c r="I9" i="83"/>
  <c r="H9" i="83"/>
  <c r="G9" i="83"/>
  <c r="F9" i="83"/>
  <c r="E9" i="83"/>
  <c r="D9" i="83"/>
  <c r="M8" i="83"/>
  <c r="L8" i="83"/>
  <c r="K8" i="83"/>
  <c r="J8" i="83"/>
  <c r="I8" i="83"/>
  <c r="H8" i="83"/>
  <c r="G8" i="83"/>
  <c r="F8" i="83"/>
  <c r="E8" i="83"/>
  <c r="D8" i="83"/>
  <c r="E7" i="83"/>
  <c r="F7" i="83"/>
  <c r="G7" i="83"/>
  <c r="H7" i="83"/>
  <c r="I7" i="83"/>
  <c r="J7" i="83"/>
  <c r="K7" i="83"/>
  <c r="L7" i="83"/>
  <c r="M7" i="83"/>
  <c r="D7" i="83"/>
  <c r="C9" i="83"/>
  <c r="C10" i="83"/>
  <c r="C11" i="83"/>
  <c r="C12" i="83"/>
  <c r="C13" i="83"/>
  <c r="C14" i="83"/>
  <c r="C15" i="83"/>
  <c r="C16" i="83"/>
  <c r="C17" i="83"/>
  <c r="C18" i="83"/>
  <c r="C19" i="83"/>
  <c r="C20" i="83"/>
  <c r="C21" i="83"/>
  <c r="C22" i="83"/>
  <c r="C23" i="83"/>
  <c r="C24" i="83"/>
  <c r="C25" i="83"/>
  <c r="C26" i="83"/>
  <c r="C27" i="83"/>
  <c r="C28" i="83"/>
  <c r="C29" i="83"/>
  <c r="C30" i="83"/>
  <c r="C31" i="83"/>
  <c r="C32" i="83"/>
  <c r="C33" i="83"/>
  <c r="C34" i="83"/>
  <c r="C35" i="83"/>
  <c r="C36" i="83"/>
  <c r="C37" i="83"/>
  <c r="C38" i="83"/>
  <c r="C39" i="83"/>
  <c r="C40" i="83"/>
  <c r="C41" i="83"/>
  <c r="C42" i="83"/>
  <c r="C43" i="83"/>
  <c r="C44" i="83"/>
  <c r="C45" i="83"/>
  <c r="C46" i="83"/>
  <c r="C47" i="83"/>
  <c r="C48" i="83"/>
  <c r="C49" i="83"/>
  <c r="C50" i="83"/>
  <c r="C51" i="83"/>
  <c r="C52" i="83"/>
  <c r="C53" i="83"/>
  <c r="C54" i="83"/>
  <c r="C55" i="83"/>
  <c r="C56" i="83"/>
  <c r="C57" i="83"/>
  <c r="C58" i="83"/>
  <c r="C59" i="83"/>
  <c r="C60" i="83"/>
  <c r="C61" i="83"/>
  <c r="C62" i="83"/>
  <c r="C63" i="83"/>
  <c r="C64" i="83"/>
  <c r="C8" i="83"/>
  <c r="C7" i="83"/>
  <c r="C65" i="83" l="1"/>
  <c r="H8" i="73"/>
  <c r="H9" i="73"/>
  <c r="H10" i="73"/>
  <c r="H11" i="73"/>
  <c r="H12" i="73"/>
  <c r="H13" i="73"/>
  <c r="H14" i="73"/>
  <c r="H15" i="73"/>
  <c r="H16" i="73"/>
  <c r="H17" i="73"/>
  <c r="H18" i="73"/>
  <c r="H19" i="73"/>
  <c r="H20" i="73"/>
  <c r="H21" i="73"/>
  <c r="H22" i="73"/>
  <c r="H23" i="73"/>
  <c r="H24" i="73"/>
  <c r="H25" i="73"/>
  <c r="H26" i="73"/>
  <c r="H27" i="73"/>
  <c r="H28" i="73"/>
  <c r="H29" i="73"/>
  <c r="H30" i="73"/>
  <c r="H31" i="73"/>
  <c r="H32" i="73"/>
  <c r="H33" i="73"/>
  <c r="H34" i="73"/>
  <c r="H35" i="73"/>
  <c r="H36" i="73"/>
  <c r="H37" i="73"/>
  <c r="H38" i="73"/>
  <c r="H39" i="73"/>
  <c r="H40" i="73"/>
  <c r="H41" i="73"/>
  <c r="H42" i="73"/>
  <c r="H43" i="73"/>
  <c r="H44" i="73"/>
  <c r="H45" i="73"/>
  <c r="H46" i="73"/>
  <c r="H47" i="73"/>
  <c r="H48" i="73"/>
  <c r="H49" i="73"/>
  <c r="H50" i="73"/>
  <c r="H51" i="73"/>
  <c r="H52" i="73"/>
  <c r="H53" i="73"/>
  <c r="H54" i="73"/>
  <c r="H55" i="73"/>
  <c r="H56" i="73"/>
  <c r="H57" i="73"/>
  <c r="H58" i="73"/>
  <c r="H59" i="73"/>
  <c r="H60" i="73"/>
  <c r="H61" i="73"/>
  <c r="H62" i="73"/>
  <c r="H63" i="73"/>
  <c r="H64" i="73"/>
  <c r="H7" i="73"/>
  <c r="G8" i="73"/>
  <c r="G9" i="73"/>
  <c r="G10" i="73"/>
  <c r="G11" i="73"/>
  <c r="G12" i="73"/>
  <c r="G13" i="73"/>
  <c r="G14" i="73"/>
  <c r="G15" i="73"/>
  <c r="G16" i="73"/>
  <c r="G17" i="73"/>
  <c r="G18" i="73"/>
  <c r="G19" i="73"/>
  <c r="G20" i="73"/>
  <c r="G21" i="73"/>
  <c r="G22" i="73"/>
  <c r="G23" i="73"/>
  <c r="G24" i="73"/>
  <c r="G25" i="73"/>
  <c r="G26" i="73"/>
  <c r="G27" i="73"/>
  <c r="G28" i="73"/>
  <c r="G29" i="73"/>
  <c r="G30" i="73"/>
  <c r="G31" i="73"/>
  <c r="G32" i="73"/>
  <c r="G33" i="73"/>
  <c r="G34" i="73"/>
  <c r="G35" i="73"/>
  <c r="G36" i="73"/>
  <c r="G37" i="73"/>
  <c r="G38" i="73"/>
  <c r="G39" i="73"/>
  <c r="G40" i="73"/>
  <c r="G41" i="73"/>
  <c r="G42" i="73"/>
  <c r="G43" i="73"/>
  <c r="G44" i="73"/>
  <c r="G45" i="73"/>
  <c r="G46" i="73"/>
  <c r="G47" i="73"/>
  <c r="G48" i="73"/>
  <c r="G49" i="73"/>
  <c r="G50" i="73"/>
  <c r="G51" i="73"/>
  <c r="G52" i="73"/>
  <c r="G53" i="73"/>
  <c r="G54" i="73"/>
  <c r="G55" i="73"/>
  <c r="G56" i="73"/>
  <c r="G57" i="73"/>
  <c r="G58" i="73"/>
  <c r="G59" i="73"/>
  <c r="G60" i="73"/>
  <c r="G61" i="73"/>
  <c r="G62" i="73"/>
  <c r="G63" i="73"/>
  <c r="G64" i="73"/>
  <c r="G7" i="73"/>
  <c r="F9" i="73"/>
  <c r="F10" i="73"/>
  <c r="F11" i="73"/>
  <c r="F12" i="73"/>
  <c r="F13" i="73"/>
  <c r="F14" i="73"/>
  <c r="F15" i="73"/>
  <c r="F16" i="73"/>
  <c r="F17" i="73"/>
  <c r="F18" i="73"/>
  <c r="F19" i="73"/>
  <c r="F20" i="73"/>
  <c r="F21" i="73"/>
  <c r="F22" i="73"/>
  <c r="F23" i="73"/>
  <c r="F24" i="73"/>
  <c r="F25" i="73"/>
  <c r="F26" i="73"/>
  <c r="F27" i="73"/>
  <c r="F28" i="73"/>
  <c r="F29" i="73"/>
  <c r="F30" i="73"/>
  <c r="F31" i="73"/>
  <c r="F32" i="73"/>
  <c r="F33" i="73"/>
  <c r="F34" i="73"/>
  <c r="F35" i="73"/>
  <c r="F36" i="73"/>
  <c r="F37" i="73"/>
  <c r="F38" i="73"/>
  <c r="F39" i="73"/>
  <c r="F40" i="73"/>
  <c r="F41" i="73"/>
  <c r="F42" i="73"/>
  <c r="F43" i="73"/>
  <c r="F44" i="73"/>
  <c r="F45" i="73"/>
  <c r="F46" i="73"/>
  <c r="F47" i="73"/>
  <c r="F48" i="73"/>
  <c r="F49" i="73"/>
  <c r="F50" i="73"/>
  <c r="F51" i="73"/>
  <c r="F52" i="73"/>
  <c r="F53" i="73"/>
  <c r="F54" i="73"/>
  <c r="F55" i="73"/>
  <c r="F56" i="73"/>
  <c r="F57" i="73"/>
  <c r="F58" i="73"/>
  <c r="F59" i="73"/>
  <c r="F60" i="73"/>
  <c r="F61" i="73"/>
  <c r="F62" i="73"/>
  <c r="F63" i="73"/>
  <c r="F64" i="73"/>
  <c r="F8" i="73"/>
  <c r="F7" i="73"/>
  <c r="E64" i="73"/>
  <c r="E63" i="73"/>
  <c r="E62" i="73"/>
  <c r="E61" i="73"/>
  <c r="E60" i="73"/>
  <c r="I60" i="73" s="1"/>
  <c r="E59" i="73"/>
  <c r="E58" i="73"/>
  <c r="E57" i="73"/>
  <c r="E56" i="73"/>
  <c r="E55" i="73"/>
  <c r="I55" i="73" s="1"/>
  <c r="E54" i="73"/>
  <c r="E53" i="73"/>
  <c r="I53" i="73" s="1"/>
  <c r="E52" i="73"/>
  <c r="E51" i="73"/>
  <c r="E50" i="73"/>
  <c r="E49" i="73"/>
  <c r="E48" i="73"/>
  <c r="E47" i="73"/>
  <c r="E46" i="73"/>
  <c r="E45" i="73"/>
  <c r="E44" i="73"/>
  <c r="E43" i="73"/>
  <c r="I43" i="73" s="1"/>
  <c r="E42" i="73"/>
  <c r="E41" i="73"/>
  <c r="I41" i="73" s="1"/>
  <c r="E40" i="73"/>
  <c r="E39" i="73"/>
  <c r="E38" i="73"/>
  <c r="E37" i="73"/>
  <c r="E36" i="73"/>
  <c r="E35" i="73"/>
  <c r="I35" i="73" s="1"/>
  <c r="E34" i="73"/>
  <c r="E33" i="73"/>
  <c r="I33" i="73" s="1"/>
  <c r="E32" i="73"/>
  <c r="E31" i="73"/>
  <c r="E30" i="73"/>
  <c r="E29" i="73"/>
  <c r="E28" i="73"/>
  <c r="I28" i="73" s="1"/>
  <c r="E27" i="73"/>
  <c r="E26" i="73"/>
  <c r="E25" i="73"/>
  <c r="E24" i="73"/>
  <c r="E23" i="73"/>
  <c r="I23" i="73" s="1"/>
  <c r="E22" i="73"/>
  <c r="E21" i="73"/>
  <c r="I21" i="73" s="1"/>
  <c r="E20" i="73"/>
  <c r="I20" i="73" s="1"/>
  <c r="E19" i="73"/>
  <c r="E18" i="73"/>
  <c r="E17" i="73"/>
  <c r="E16" i="73"/>
  <c r="E15" i="73"/>
  <c r="I15" i="73" s="1"/>
  <c r="E14" i="73"/>
  <c r="E13" i="73"/>
  <c r="I13" i="73" s="1"/>
  <c r="E12" i="73"/>
  <c r="E11" i="73"/>
  <c r="E10" i="73"/>
  <c r="E9" i="73"/>
  <c r="I9" i="73" s="1"/>
  <c r="E8" i="73"/>
  <c r="E7" i="73"/>
  <c r="D8" i="73"/>
  <c r="D9" i="73"/>
  <c r="D10" i="73"/>
  <c r="D11" i="73"/>
  <c r="D12" i="73"/>
  <c r="D13" i="73"/>
  <c r="D14" i="73"/>
  <c r="D15" i="73"/>
  <c r="D16" i="73"/>
  <c r="D17" i="73"/>
  <c r="D18" i="73"/>
  <c r="D19" i="73"/>
  <c r="D20" i="73"/>
  <c r="D21" i="73"/>
  <c r="D22" i="73"/>
  <c r="D23" i="73"/>
  <c r="D24" i="73"/>
  <c r="D25" i="73"/>
  <c r="D26" i="73"/>
  <c r="D27" i="73"/>
  <c r="D28" i="73"/>
  <c r="D29" i="73"/>
  <c r="D30" i="73"/>
  <c r="D31" i="73"/>
  <c r="D32" i="73"/>
  <c r="D33" i="73"/>
  <c r="D34" i="73"/>
  <c r="D35" i="73"/>
  <c r="D36" i="73"/>
  <c r="D37" i="73"/>
  <c r="D38" i="73"/>
  <c r="D39" i="73"/>
  <c r="D40" i="73"/>
  <c r="D41" i="73"/>
  <c r="D42" i="73"/>
  <c r="D43" i="73"/>
  <c r="D44" i="73"/>
  <c r="D45" i="73"/>
  <c r="D46" i="73"/>
  <c r="D47" i="73"/>
  <c r="D48" i="73"/>
  <c r="D49" i="73"/>
  <c r="D50" i="73"/>
  <c r="D51" i="73"/>
  <c r="D52" i="73"/>
  <c r="D53" i="73"/>
  <c r="D54" i="73"/>
  <c r="D55" i="73"/>
  <c r="D56" i="73"/>
  <c r="D57" i="73"/>
  <c r="D58" i="73"/>
  <c r="D59" i="73"/>
  <c r="D60" i="73"/>
  <c r="D61" i="73"/>
  <c r="D62" i="73"/>
  <c r="D63" i="73"/>
  <c r="D64" i="73"/>
  <c r="D7" i="73"/>
  <c r="C8" i="73"/>
  <c r="C9" i="73"/>
  <c r="C10" i="73"/>
  <c r="C11" i="73"/>
  <c r="C12" i="73"/>
  <c r="C13" i="73"/>
  <c r="C14" i="73"/>
  <c r="C15" i="73"/>
  <c r="C16" i="73"/>
  <c r="C17" i="73"/>
  <c r="C18" i="73"/>
  <c r="C19" i="73"/>
  <c r="C20" i="73"/>
  <c r="C21" i="73"/>
  <c r="C22" i="73"/>
  <c r="C23" i="73"/>
  <c r="C24" i="73"/>
  <c r="C25" i="73"/>
  <c r="C26" i="73"/>
  <c r="C27" i="73"/>
  <c r="C28" i="73"/>
  <c r="C29" i="73"/>
  <c r="C30" i="73"/>
  <c r="C31" i="73"/>
  <c r="C32" i="73"/>
  <c r="C33" i="73"/>
  <c r="C34" i="73"/>
  <c r="C35" i="73"/>
  <c r="C36" i="73"/>
  <c r="C37" i="73"/>
  <c r="C38" i="73"/>
  <c r="C39" i="73"/>
  <c r="C40" i="73"/>
  <c r="C41" i="73"/>
  <c r="C42" i="73"/>
  <c r="C43" i="73"/>
  <c r="C44" i="73"/>
  <c r="C45" i="73"/>
  <c r="C46" i="73"/>
  <c r="C47" i="73"/>
  <c r="C48" i="73"/>
  <c r="C49" i="73"/>
  <c r="C50" i="73"/>
  <c r="C51" i="73"/>
  <c r="C52" i="73"/>
  <c r="C53" i="73"/>
  <c r="C54" i="73"/>
  <c r="C55" i="73"/>
  <c r="C56" i="73"/>
  <c r="C57" i="73"/>
  <c r="C58" i="73"/>
  <c r="C59" i="73"/>
  <c r="C60" i="73"/>
  <c r="C61" i="73"/>
  <c r="C62" i="73"/>
  <c r="C63" i="73"/>
  <c r="C64" i="73"/>
  <c r="C7" i="73"/>
  <c r="I44" i="73" l="1"/>
  <c r="I63" i="73"/>
  <c r="I19" i="73"/>
  <c r="I40" i="73"/>
  <c r="N40" i="41" s="1"/>
  <c r="I61" i="73"/>
  <c r="N61" i="41" s="1"/>
  <c r="I22" i="73"/>
  <c r="N22" i="41" s="1"/>
  <c r="I42" i="73"/>
  <c r="C41" i="72" s="1"/>
  <c r="I62" i="73"/>
  <c r="C61" i="72" s="1"/>
  <c r="I39" i="73"/>
  <c r="C38" i="72" s="1"/>
  <c r="I59" i="73"/>
  <c r="N59" i="41" s="1"/>
  <c r="I24" i="73"/>
  <c r="N24" i="41" s="1"/>
  <c r="I64" i="73"/>
  <c r="N64" i="41" s="1"/>
  <c r="I25" i="73"/>
  <c r="N25" i="41" s="1"/>
  <c r="I45" i="73"/>
  <c r="C44" i="72" s="1"/>
  <c r="I26" i="73"/>
  <c r="C25" i="72" s="1"/>
  <c r="I48" i="73"/>
  <c r="C47" i="72" s="1"/>
  <c r="I10" i="73"/>
  <c r="C9" i="72" s="1"/>
  <c r="I30" i="73"/>
  <c r="N30" i="41" s="1"/>
  <c r="I50" i="73"/>
  <c r="N50" i="41" s="1"/>
  <c r="I16" i="73"/>
  <c r="N16" i="41" s="1"/>
  <c r="I36" i="73"/>
  <c r="N36" i="41" s="1"/>
  <c r="I17" i="73"/>
  <c r="N17" i="41" s="1"/>
  <c r="I37" i="73"/>
  <c r="C36" i="72" s="1"/>
  <c r="I57" i="73"/>
  <c r="I14" i="73"/>
  <c r="C13" i="72" s="1"/>
  <c r="I34" i="73"/>
  <c r="N34" i="41" s="1"/>
  <c r="I54" i="73"/>
  <c r="N54" i="41" s="1"/>
  <c r="I46" i="73"/>
  <c r="C45" i="72" s="1"/>
  <c r="I52" i="73"/>
  <c r="C51" i="72" s="1"/>
  <c r="I27" i="73"/>
  <c r="N27" i="41" s="1"/>
  <c r="I49" i="73"/>
  <c r="C48" i="72" s="1"/>
  <c r="I51" i="73"/>
  <c r="N51" i="41" s="1"/>
  <c r="I56" i="73"/>
  <c r="C55" i="72" s="1"/>
  <c r="I29" i="73"/>
  <c r="N29" i="41" s="1"/>
  <c r="I31" i="73"/>
  <c r="C30" i="72" s="1"/>
  <c r="I12" i="73"/>
  <c r="N12" i="41" s="1"/>
  <c r="I7" i="73"/>
  <c r="C6" i="72" s="1"/>
  <c r="I47" i="73"/>
  <c r="N47" i="41" s="1"/>
  <c r="I8" i="73"/>
  <c r="C7" i="72" s="1"/>
  <c r="I11" i="73"/>
  <c r="N11" i="41" s="1"/>
  <c r="I32" i="73"/>
  <c r="C31" i="72" s="1"/>
  <c r="I18" i="73"/>
  <c r="C17" i="72" s="1"/>
  <c r="I38" i="73"/>
  <c r="N38" i="41" s="1"/>
  <c r="I58" i="73"/>
  <c r="C57" i="72" s="1"/>
  <c r="H13" i="145"/>
  <c r="K42" i="41" s="1"/>
  <c r="E65" i="145"/>
  <c r="D7" i="41"/>
  <c r="E7" i="41"/>
  <c r="H11" i="145"/>
  <c r="K16" i="41" s="1"/>
  <c r="H9" i="145"/>
  <c r="K61" i="41" s="1"/>
  <c r="H7" i="145"/>
  <c r="K41" i="41" s="1"/>
  <c r="C6" i="80"/>
  <c r="D6" i="80"/>
  <c r="C7" i="80"/>
  <c r="D7" i="80"/>
  <c r="F7" i="80" s="1"/>
  <c r="C8" i="80"/>
  <c r="D8" i="80"/>
  <c r="C9" i="80"/>
  <c r="D9" i="80"/>
  <c r="C10" i="80"/>
  <c r="D10" i="80"/>
  <c r="C11" i="80"/>
  <c r="D11" i="80"/>
  <c r="C12" i="80"/>
  <c r="D12" i="80"/>
  <c r="C13" i="80"/>
  <c r="D13" i="80"/>
  <c r="C14" i="80"/>
  <c r="D14" i="80"/>
  <c r="C15" i="80"/>
  <c r="D15" i="80"/>
  <c r="C16" i="80"/>
  <c r="D16" i="80"/>
  <c r="C17" i="80"/>
  <c r="D17" i="80"/>
  <c r="C18" i="80"/>
  <c r="D18" i="80"/>
  <c r="C19" i="80"/>
  <c r="D19" i="80"/>
  <c r="C20" i="80"/>
  <c r="F20" i="80" s="1"/>
  <c r="D20" i="80"/>
  <c r="C21" i="80"/>
  <c r="D21" i="80"/>
  <c r="C22" i="80"/>
  <c r="D22" i="80"/>
  <c r="C23" i="80"/>
  <c r="D23" i="80"/>
  <c r="C24" i="80"/>
  <c r="D24" i="80"/>
  <c r="C25" i="80"/>
  <c r="D25" i="80"/>
  <c r="C26" i="80"/>
  <c r="D26" i="80"/>
  <c r="C27" i="80"/>
  <c r="D27" i="80"/>
  <c r="C28" i="80"/>
  <c r="D28" i="80"/>
  <c r="F28" i="80" s="1"/>
  <c r="C29" i="80"/>
  <c r="D29" i="80"/>
  <c r="C30" i="80"/>
  <c r="D30" i="80"/>
  <c r="C31" i="80"/>
  <c r="D31" i="80"/>
  <c r="F31" i="80" s="1"/>
  <c r="C32" i="80"/>
  <c r="D32" i="80"/>
  <c r="C33" i="80"/>
  <c r="D33" i="80"/>
  <c r="C34" i="80"/>
  <c r="D34" i="80"/>
  <c r="C35" i="80"/>
  <c r="D35" i="80"/>
  <c r="C36" i="80"/>
  <c r="D36" i="80"/>
  <c r="C37" i="80"/>
  <c r="D37" i="80"/>
  <c r="C38" i="80"/>
  <c r="D38" i="80"/>
  <c r="C39" i="80"/>
  <c r="D39" i="80"/>
  <c r="C40" i="80"/>
  <c r="D40" i="80"/>
  <c r="C41" i="80"/>
  <c r="D41" i="80"/>
  <c r="C42" i="80"/>
  <c r="D42" i="80"/>
  <c r="C43" i="80"/>
  <c r="D43" i="80"/>
  <c r="C44" i="80"/>
  <c r="D44" i="80"/>
  <c r="C45" i="80"/>
  <c r="D45" i="80"/>
  <c r="C46" i="80"/>
  <c r="D46" i="80"/>
  <c r="F46" i="80"/>
  <c r="C47" i="80"/>
  <c r="D47" i="80"/>
  <c r="C48" i="80"/>
  <c r="D48" i="80"/>
  <c r="C49" i="80"/>
  <c r="D49" i="80"/>
  <c r="C50" i="80"/>
  <c r="D50" i="80"/>
  <c r="C51" i="80"/>
  <c r="D51" i="80"/>
  <c r="C52" i="80"/>
  <c r="D52" i="80"/>
  <c r="C53" i="80"/>
  <c r="D53" i="80"/>
  <c r="C54" i="80"/>
  <c r="D54" i="80"/>
  <c r="C55" i="80"/>
  <c r="D55" i="80"/>
  <c r="C56" i="80"/>
  <c r="D56" i="80"/>
  <c r="C57" i="80"/>
  <c r="D57" i="80"/>
  <c r="C58" i="80"/>
  <c r="D58" i="80"/>
  <c r="C59" i="80"/>
  <c r="D59" i="80"/>
  <c r="C60" i="80"/>
  <c r="D60" i="80"/>
  <c r="C61" i="80"/>
  <c r="D61" i="80"/>
  <c r="C62" i="80"/>
  <c r="D62" i="80"/>
  <c r="C63" i="80"/>
  <c r="D63" i="80"/>
  <c r="E8" i="41"/>
  <c r="D8" i="41"/>
  <c r="E9" i="41"/>
  <c r="D9" i="41"/>
  <c r="C8" i="72"/>
  <c r="E10" i="41"/>
  <c r="D10" i="41"/>
  <c r="F10" i="41" s="1"/>
  <c r="E11" i="41"/>
  <c r="D11" i="41"/>
  <c r="E12" i="41"/>
  <c r="D12" i="41"/>
  <c r="E13" i="41"/>
  <c r="D13" i="41"/>
  <c r="C12" i="72"/>
  <c r="E14" i="41"/>
  <c r="D14" i="41"/>
  <c r="E15" i="41"/>
  <c r="D15" i="41"/>
  <c r="C14" i="72"/>
  <c r="E16" i="41"/>
  <c r="D16" i="41"/>
  <c r="E17" i="41"/>
  <c r="D17" i="41"/>
  <c r="E18" i="41"/>
  <c r="D18" i="41"/>
  <c r="E19" i="41"/>
  <c r="D19" i="41"/>
  <c r="F19" i="41" s="1"/>
  <c r="C18" i="72"/>
  <c r="E20" i="41"/>
  <c r="D20" i="41"/>
  <c r="C19" i="72"/>
  <c r="E21" i="41"/>
  <c r="D21" i="41"/>
  <c r="C20" i="72"/>
  <c r="E22" i="41"/>
  <c r="D22" i="41"/>
  <c r="E23" i="41"/>
  <c r="D23" i="41"/>
  <c r="C22" i="72"/>
  <c r="E24" i="41"/>
  <c r="D24" i="41"/>
  <c r="E25" i="41"/>
  <c r="D25" i="41"/>
  <c r="E26" i="41"/>
  <c r="D26" i="41"/>
  <c r="E27" i="41"/>
  <c r="D27" i="41"/>
  <c r="E28" i="41"/>
  <c r="D28" i="41"/>
  <c r="C27" i="72"/>
  <c r="E29" i="41"/>
  <c r="D29" i="41"/>
  <c r="E30" i="41"/>
  <c r="D30" i="41"/>
  <c r="E31" i="41"/>
  <c r="D31" i="41"/>
  <c r="F31" i="41" s="1"/>
  <c r="E32" i="41"/>
  <c r="D32" i="41"/>
  <c r="E33" i="41"/>
  <c r="D33" i="41"/>
  <c r="C32" i="72"/>
  <c r="E34" i="41"/>
  <c r="D34" i="41"/>
  <c r="C33" i="72"/>
  <c r="E35" i="41"/>
  <c r="D35" i="41"/>
  <c r="C34" i="72"/>
  <c r="E36" i="41"/>
  <c r="D36" i="41"/>
  <c r="E37" i="41"/>
  <c r="D37" i="41"/>
  <c r="E38" i="41"/>
  <c r="D38" i="41"/>
  <c r="E39" i="41"/>
  <c r="D39" i="41"/>
  <c r="E40" i="41"/>
  <c r="D40" i="41"/>
  <c r="C39" i="72"/>
  <c r="E41" i="41"/>
  <c r="D41" i="41"/>
  <c r="C40" i="72"/>
  <c r="E42" i="41"/>
  <c r="D42" i="41"/>
  <c r="E43" i="41"/>
  <c r="D43" i="41"/>
  <c r="F43" i="41" s="1"/>
  <c r="C42" i="72"/>
  <c r="E44" i="41"/>
  <c r="D44" i="41"/>
  <c r="C43" i="72"/>
  <c r="E45" i="41"/>
  <c r="D45" i="41"/>
  <c r="E46" i="41"/>
  <c r="D46" i="41"/>
  <c r="E47" i="41"/>
  <c r="D47" i="41"/>
  <c r="F47" i="41" s="1"/>
  <c r="Y47" i="41" s="1"/>
  <c r="E48" i="41"/>
  <c r="D48" i="41"/>
  <c r="E49" i="41"/>
  <c r="D49" i="41"/>
  <c r="E50" i="41"/>
  <c r="D50" i="41"/>
  <c r="E51" i="41"/>
  <c r="D51" i="41"/>
  <c r="E52" i="41"/>
  <c r="D52" i="41"/>
  <c r="F52" i="41" s="1"/>
  <c r="E53" i="41"/>
  <c r="D53" i="41"/>
  <c r="C52" i="72"/>
  <c r="E54" i="41"/>
  <c r="D54" i="41"/>
  <c r="E55" i="41"/>
  <c r="D55" i="41"/>
  <c r="C54" i="72"/>
  <c r="E56" i="41"/>
  <c r="D56" i="41"/>
  <c r="E57" i="41"/>
  <c r="D57" i="41"/>
  <c r="C56" i="72"/>
  <c r="E58" i="41"/>
  <c r="D58" i="41"/>
  <c r="E59" i="41"/>
  <c r="D59" i="41"/>
  <c r="F59" i="41" s="1"/>
  <c r="E60" i="41"/>
  <c r="D60" i="41"/>
  <c r="C59" i="72"/>
  <c r="E61" i="41"/>
  <c r="D61" i="41"/>
  <c r="C60" i="72"/>
  <c r="E62" i="41"/>
  <c r="D62" i="41"/>
  <c r="E63" i="41"/>
  <c r="D63" i="41"/>
  <c r="C62" i="72"/>
  <c r="E64" i="41"/>
  <c r="D64" i="41"/>
  <c r="G7" i="143"/>
  <c r="R7" i="41" s="1"/>
  <c r="F7" i="143"/>
  <c r="Q7" i="41" s="1"/>
  <c r="F52" i="146"/>
  <c r="S52" i="41"/>
  <c r="G52" i="146"/>
  <c r="T52" i="41" s="1"/>
  <c r="N60" i="41"/>
  <c r="N63" i="41"/>
  <c r="N53" i="41"/>
  <c r="N55" i="41"/>
  <c r="N56" i="41"/>
  <c r="N57" i="41"/>
  <c r="N58" i="41"/>
  <c r="N23" i="41"/>
  <c r="N28" i="41"/>
  <c r="N33" i="41"/>
  <c r="N35" i="41"/>
  <c r="N41" i="41"/>
  <c r="N43" i="41"/>
  <c r="N44" i="41"/>
  <c r="N13" i="41"/>
  <c r="N15" i="41"/>
  <c r="N19" i="41"/>
  <c r="N20" i="41"/>
  <c r="N21" i="41"/>
  <c r="N9" i="41"/>
  <c r="C63" i="148"/>
  <c r="E6" i="148"/>
  <c r="AA8" i="41" s="1"/>
  <c r="E7" i="148"/>
  <c r="AA9" i="41" s="1"/>
  <c r="E8" i="148"/>
  <c r="AA10" i="41" s="1"/>
  <c r="E9" i="148"/>
  <c r="AA11" i="41" s="1"/>
  <c r="E10" i="148"/>
  <c r="AA12" i="41" s="1"/>
  <c r="E11" i="148"/>
  <c r="AA13" i="41" s="1"/>
  <c r="E12" i="148"/>
  <c r="AA14" i="41" s="1"/>
  <c r="E13" i="148"/>
  <c r="AA15" i="41" s="1"/>
  <c r="E14" i="148"/>
  <c r="AA16" i="41" s="1"/>
  <c r="E15" i="148"/>
  <c r="AA17" i="41" s="1"/>
  <c r="E16" i="148"/>
  <c r="AA18" i="41" s="1"/>
  <c r="E17" i="148"/>
  <c r="AA19" i="41" s="1"/>
  <c r="E18" i="148"/>
  <c r="AA20" i="41" s="1"/>
  <c r="E19" i="148"/>
  <c r="AA21" i="41" s="1"/>
  <c r="E20" i="148"/>
  <c r="AA22" i="41" s="1"/>
  <c r="E21" i="148"/>
  <c r="AA23" i="41" s="1"/>
  <c r="E22" i="148"/>
  <c r="AA24" i="41" s="1"/>
  <c r="E23" i="148"/>
  <c r="AA25" i="41" s="1"/>
  <c r="E24" i="148"/>
  <c r="E25" i="148"/>
  <c r="E26" i="148"/>
  <c r="AA28" i="41" s="1"/>
  <c r="E27" i="148"/>
  <c r="AA29" i="41" s="1"/>
  <c r="E28" i="148"/>
  <c r="AA30" i="41" s="1"/>
  <c r="E29" i="148"/>
  <c r="AA31" i="41" s="1"/>
  <c r="E30" i="148"/>
  <c r="AA32" i="41" s="1"/>
  <c r="E31" i="148"/>
  <c r="AA33" i="41" s="1"/>
  <c r="E32" i="148"/>
  <c r="AA34" i="41" s="1"/>
  <c r="E33" i="148"/>
  <c r="AA35" i="41" s="1"/>
  <c r="E34" i="148"/>
  <c r="AA36" i="41" s="1"/>
  <c r="E35" i="148"/>
  <c r="AA37" i="41" s="1"/>
  <c r="E36" i="148"/>
  <c r="AA38" i="41" s="1"/>
  <c r="E37" i="148"/>
  <c r="AA39" i="41" s="1"/>
  <c r="E38" i="148"/>
  <c r="AA40" i="41" s="1"/>
  <c r="E39" i="148"/>
  <c r="AA41" i="41" s="1"/>
  <c r="E40" i="148"/>
  <c r="AA42" i="41" s="1"/>
  <c r="E41" i="148"/>
  <c r="AA43" i="41" s="1"/>
  <c r="E42" i="148"/>
  <c r="AA44" i="41" s="1"/>
  <c r="E43" i="148"/>
  <c r="AA45" i="41" s="1"/>
  <c r="E44" i="148"/>
  <c r="E45" i="148"/>
  <c r="AA47" i="41" s="1"/>
  <c r="E46" i="148"/>
  <c r="AA48" i="41" s="1"/>
  <c r="E47" i="148"/>
  <c r="AA49" i="41" s="1"/>
  <c r="E48" i="148"/>
  <c r="AA50" i="41" s="1"/>
  <c r="E49" i="148"/>
  <c r="AA51" i="41" s="1"/>
  <c r="E50" i="148"/>
  <c r="AA52" i="41" s="1"/>
  <c r="E51" i="148"/>
  <c r="AA53" i="41" s="1"/>
  <c r="E52" i="148"/>
  <c r="AA54" i="41" s="1"/>
  <c r="E53" i="148"/>
  <c r="AA55" i="41" s="1"/>
  <c r="E54" i="148"/>
  <c r="AA56" i="41" s="1"/>
  <c r="E55" i="148"/>
  <c r="AA57" i="41" s="1"/>
  <c r="E56" i="148"/>
  <c r="AA58" i="41" s="1"/>
  <c r="E57" i="148"/>
  <c r="AA59" i="41" s="1"/>
  <c r="E58" i="148"/>
  <c r="AA60" i="41" s="1"/>
  <c r="E59" i="148"/>
  <c r="AA61" i="41" s="1"/>
  <c r="E60" i="148"/>
  <c r="AA62" i="41" s="1"/>
  <c r="E61" i="148"/>
  <c r="AA63" i="41" s="1"/>
  <c r="E62" i="148"/>
  <c r="AA64" i="41" s="1"/>
  <c r="D63" i="148"/>
  <c r="E5" i="148"/>
  <c r="M65" i="83"/>
  <c r="AA46" i="41"/>
  <c r="AA27" i="41"/>
  <c r="AA26" i="41"/>
  <c r="AA7" i="41"/>
  <c r="F7" i="93"/>
  <c r="F43" i="146"/>
  <c r="S43" i="41" s="1"/>
  <c r="F7" i="146"/>
  <c r="S7" i="41"/>
  <c r="G7" i="146"/>
  <c r="T7" i="41" s="1"/>
  <c r="F8" i="143"/>
  <c r="Q8" i="41" s="1"/>
  <c r="G8" i="143"/>
  <c r="R8" i="41" s="1"/>
  <c r="F8" i="146"/>
  <c r="S8" i="41" s="1"/>
  <c r="G8" i="146"/>
  <c r="T8" i="41" s="1"/>
  <c r="F9" i="143"/>
  <c r="Q9" i="41" s="1"/>
  <c r="G9" i="143"/>
  <c r="R9" i="41" s="1"/>
  <c r="F9" i="146"/>
  <c r="S9" i="41"/>
  <c r="G9" i="146"/>
  <c r="T9" i="41" s="1"/>
  <c r="G10" i="143"/>
  <c r="R10" i="41"/>
  <c r="F10" i="146"/>
  <c r="S10" i="41" s="1"/>
  <c r="G10" i="146"/>
  <c r="T10" i="41" s="1"/>
  <c r="F11" i="143"/>
  <c r="Q11" i="41" s="1"/>
  <c r="G11" i="143"/>
  <c r="R11" i="41" s="1"/>
  <c r="G11" i="146"/>
  <c r="T11" i="41" s="1"/>
  <c r="F12" i="143"/>
  <c r="Q12" i="41"/>
  <c r="G12" i="143"/>
  <c r="R12" i="41" s="1"/>
  <c r="F12" i="146"/>
  <c r="S12" i="41" s="1"/>
  <c r="G12" i="146"/>
  <c r="T12" i="41" s="1"/>
  <c r="F13" i="143"/>
  <c r="Q13" i="41" s="1"/>
  <c r="G13" i="143"/>
  <c r="R13" i="41" s="1"/>
  <c r="F13" i="146"/>
  <c r="S13" i="41" s="1"/>
  <c r="G13" i="146"/>
  <c r="T13" i="41" s="1"/>
  <c r="G14" i="143"/>
  <c r="R14" i="41" s="1"/>
  <c r="F14" i="146"/>
  <c r="S14" i="41" s="1"/>
  <c r="G14" i="146"/>
  <c r="T14" i="41"/>
  <c r="F15" i="143"/>
  <c r="Q15" i="41" s="1"/>
  <c r="G15" i="143"/>
  <c r="R15" i="41" s="1"/>
  <c r="F15" i="146"/>
  <c r="S15" i="41" s="1"/>
  <c r="G15" i="146"/>
  <c r="T15" i="41" s="1"/>
  <c r="F16" i="143"/>
  <c r="Q16" i="41" s="1"/>
  <c r="G16" i="143"/>
  <c r="R16" i="41" s="1"/>
  <c r="F16" i="146"/>
  <c r="S16" i="41" s="1"/>
  <c r="G16" i="146"/>
  <c r="T16" i="41" s="1"/>
  <c r="F17" i="143"/>
  <c r="Q17" i="41" s="1"/>
  <c r="G17" i="143"/>
  <c r="R17" i="41" s="1"/>
  <c r="F17" i="146"/>
  <c r="S17" i="41" s="1"/>
  <c r="G17" i="146"/>
  <c r="T17" i="41" s="1"/>
  <c r="F18" i="143"/>
  <c r="Q18" i="41" s="1"/>
  <c r="G18" i="143"/>
  <c r="R18" i="41" s="1"/>
  <c r="F18" i="146"/>
  <c r="S18" i="41" s="1"/>
  <c r="G18" i="146"/>
  <c r="T18" i="41" s="1"/>
  <c r="F19" i="143"/>
  <c r="Q19" i="41" s="1"/>
  <c r="G19" i="143"/>
  <c r="R19" i="41"/>
  <c r="F19" i="146"/>
  <c r="S19" i="41"/>
  <c r="G19" i="146"/>
  <c r="T19" i="41" s="1"/>
  <c r="F20" i="143"/>
  <c r="Q20" i="41" s="1"/>
  <c r="G20" i="143"/>
  <c r="R20" i="41" s="1"/>
  <c r="F20" i="146"/>
  <c r="S20" i="41" s="1"/>
  <c r="F21" i="143"/>
  <c r="Q21" i="41" s="1"/>
  <c r="G21" i="143"/>
  <c r="R21" i="41" s="1"/>
  <c r="F21" i="146"/>
  <c r="S21" i="41" s="1"/>
  <c r="G21" i="146"/>
  <c r="T21" i="41" s="1"/>
  <c r="F22" i="143"/>
  <c r="Q22" i="41" s="1"/>
  <c r="G22" i="143"/>
  <c r="R22" i="41" s="1"/>
  <c r="F22" i="146"/>
  <c r="S22" i="41" s="1"/>
  <c r="G22" i="146"/>
  <c r="T22" i="41" s="1"/>
  <c r="F23" i="143"/>
  <c r="Q23" i="41" s="1"/>
  <c r="G23" i="143"/>
  <c r="R23" i="41" s="1"/>
  <c r="F23" i="146"/>
  <c r="S23" i="41" s="1"/>
  <c r="G23" i="146"/>
  <c r="T23" i="41"/>
  <c r="F24" i="143"/>
  <c r="Q24" i="41" s="1"/>
  <c r="G24" i="143"/>
  <c r="R24" i="41"/>
  <c r="F24" i="146"/>
  <c r="S24" i="41" s="1"/>
  <c r="G24" i="146"/>
  <c r="T24" i="41" s="1"/>
  <c r="F25" i="143"/>
  <c r="Q25" i="41" s="1"/>
  <c r="G25" i="143"/>
  <c r="R25" i="41" s="1"/>
  <c r="F25" i="146"/>
  <c r="S25" i="41" s="1"/>
  <c r="G25" i="146"/>
  <c r="T25" i="41" s="1"/>
  <c r="F26" i="143"/>
  <c r="Q26" i="41" s="1"/>
  <c r="G26" i="143"/>
  <c r="R26" i="41" s="1"/>
  <c r="F26" i="146"/>
  <c r="S26" i="41" s="1"/>
  <c r="G26" i="146"/>
  <c r="T26" i="41" s="1"/>
  <c r="F27" i="143"/>
  <c r="Q27" i="41" s="1"/>
  <c r="G27" i="143"/>
  <c r="R27" i="41" s="1"/>
  <c r="G27" i="146"/>
  <c r="T27" i="41" s="1"/>
  <c r="F28" i="143"/>
  <c r="Q28" i="41" s="1"/>
  <c r="G28" i="143"/>
  <c r="R28" i="41" s="1"/>
  <c r="F28" i="146"/>
  <c r="S28" i="41" s="1"/>
  <c r="G28" i="146"/>
  <c r="T28" i="41" s="1"/>
  <c r="F29" i="143"/>
  <c r="Q29" i="41" s="1"/>
  <c r="G29" i="143"/>
  <c r="R29" i="41" s="1"/>
  <c r="F29" i="146"/>
  <c r="S29" i="41" s="1"/>
  <c r="G29" i="146"/>
  <c r="T29" i="41" s="1"/>
  <c r="G30" i="143"/>
  <c r="R30" i="41" s="1"/>
  <c r="F30" i="146"/>
  <c r="S30" i="41" s="1"/>
  <c r="G30" i="146"/>
  <c r="T30" i="41" s="1"/>
  <c r="F31" i="143"/>
  <c r="Q31" i="41"/>
  <c r="G31" i="143"/>
  <c r="R31" i="41" s="1"/>
  <c r="F31" i="146"/>
  <c r="S31" i="41" s="1"/>
  <c r="G31" i="146"/>
  <c r="T31" i="41" s="1"/>
  <c r="F32" i="143"/>
  <c r="Q32" i="41" s="1"/>
  <c r="G32" i="143"/>
  <c r="R32" i="41" s="1"/>
  <c r="G32" i="146"/>
  <c r="T32" i="41" s="1"/>
  <c r="F33" i="143"/>
  <c r="Q33" i="41" s="1"/>
  <c r="G33" i="143"/>
  <c r="R33" i="41" s="1"/>
  <c r="F33" i="146"/>
  <c r="S33" i="41" s="1"/>
  <c r="G33" i="146"/>
  <c r="T33" i="41" s="1"/>
  <c r="F34" i="143"/>
  <c r="Q34" i="41"/>
  <c r="G34" i="143"/>
  <c r="R34" i="41" s="1"/>
  <c r="F34" i="146"/>
  <c r="S34" i="41" s="1"/>
  <c r="G34" i="146"/>
  <c r="T34" i="41"/>
  <c r="F35" i="143"/>
  <c r="Q35" i="41" s="1"/>
  <c r="G35" i="143"/>
  <c r="R35" i="41" s="1"/>
  <c r="F35" i="146"/>
  <c r="S35" i="41" s="1"/>
  <c r="G35" i="146"/>
  <c r="T35" i="41" s="1"/>
  <c r="F36" i="143"/>
  <c r="Q36" i="41" s="1"/>
  <c r="G36" i="143"/>
  <c r="R36" i="41"/>
  <c r="F36" i="146"/>
  <c r="S36" i="41" s="1"/>
  <c r="G36" i="146"/>
  <c r="T36" i="41" s="1"/>
  <c r="F37" i="143"/>
  <c r="Q37" i="41" s="1"/>
  <c r="F37" i="146"/>
  <c r="S37" i="41" s="1"/>
  <c r="G37" i="146"/>
  <c r="T37" i="41" s="1"/>
  <c r="F38" i="143"/>
  <c r="Q38" i="41"/>
  <c r="F38" i="146"/>
  <c r="S38" i="41" s="1"/>
  <c r="G38" i="146"/>
  <c r="T38" i="41" s="1"/>
  <c r="F39" i="143"/>
  <c r="Q39" i="41" s="1"/>
  <c r="G39" i="143"/>
  <c r="R39" i="41" s="1"/>
  <c r="F39" i="146"/>
  <c r="S39" i="41" s="1"/>
  <c r="G39" i="146"/>
  <c r="T39" i="41"/>
  <c r="F40" i="143"/>
  <c r="Q40" i="41"/>
  <c r="G40" i="143"/>
  <c r="R40" i="41" s="1"/>
  <c r="F40" i="146"/>
  <c r="S40" i="41" s="1"/>
  <c r="G40" i="146"/>
  <c r="T40" i="41"/>
  <c r="F41" i="143"/>
  <c r="Q41" i="41"/>
  <c r="G41" i="143"/>
  <c r="R41" i="41" s="1"/>
  <c r="F41" i="146"/>
  <c r="S41" i="41" s="1"/>
  <c r="G41" i="146"/>
  <c r="T41" i="41"/>
  <c r="F42" i="143"/>
  <c r="Q42" i="41" s="1"/>
  <c r="G42" i="143"/>
  <c r="R42" i="41" s="1"/>
  <c r="F42" i="146"/>
  <c r="S42" i="41" s="1"/>
  <c r="G42" i="146"/>
  <c r="T42" i="41" s="1"/>
  <c r="F43" i="143"/>
  <c r="Q43" i="41" s="1"/>
  <c r="G43" i="143"/>
  <c r="R43" i="41" s="1"/>
  <c r="G43" i="146"/>
  <c r="T43" i="41" s="1"/>
  <c r="F44" i="143"/>
  <c r="Q44" i="41"/>
  <c r="G44" i="143"/>
  <c r="R44" i="41" s="1"/>
  <c r="F44" i="146"/>
  <c r="S44" i="41" s="1"/>
  <c r="G44" i="146"/>
  <c r="T44" i="41" s="1"/>
  <c r="F45" i="143"/>
  <c r="Q45" i="41" s="1"/>
  <c r="G45" i="143"/>
  <c r="R45" i="41" s="1"/>
  <c r="F45" i="146"/>
  <c r="S45" i="41" s="1"/>
  <c r="G45" i="146"/>
  <c r="T45" i="41" s="1"/>
  <c r="G46" i="143"/>
  <c r="R46" i="41" s="1"/>
  <c r="F46" i="146"/>
  <c r="S46" i="41" s="1"/>
  <c r="G46" i="146"/>
  <c r="T46" i="41" s="1"/>
  <c r="F47" i="143"/>
  <c r="Q47" i="41" s="1"/>
  <c r="G47" i="143"/>
  <c r="R47" i="41" s="1"/>
  <c r="F47" i="146"/>
  <c r="S47" i="41" s="1"/>
  <c r="G47" i="146"/>
  <c r="T47" i="41" s="1"/>
  <c r="F48" i="143"/>
  <c r="Q48" i="41" s="1"/>
  <c r="G48" i="143"/>
  <c r="R48" i="41" s="1"/>
  <c r="F48" i="146"/>
  <c r="S48" i="41" s="1"/>
  <c r="G48" i="146"/>
  <c r="T48" i="41" s="1"/>
  <c r="F49" i="143"/>
  <c r="Q49" i="41"/>
  <c r="G49" i="143"/>
  <c r="R49" i="41" s="1"/>
  <c r="F49" i="146"/>
  <c r="S49" i="41"/>
  <c r="G49" i="146"/>
  <c r="T49" i="41" s="1"/>
  <c r="F50" i="143"/>
  <c r="Q50" i="41" s="1"/>
  <c r="G50" i="143"/>
  <c r="R50" i="41" s="1"/>
  <c r="F50" i="146"/>
  <c r="S50" i="41" s="1"/>
  <c r="G50" i="146"/>
  <c r="T50" i="41"/>
  <c r="F51" i="143"/>
  <c r="Q51" i="41"/>
  <c r="G51" i="143"/>
  <c r="R51" i="41" s="1"/>
  <c r="F51" i="146"/>
  <c r="S51" i="41" s="1"/>
  <c r="G51" i="146"/>
  <c r="T51" i="41" s="1"/>
  <c r="F52" i="143"/>
  <c r="Q52" i="41"/>
  <c r="G52" i="143"/>
  <c r="R52" i="41" s="1"/>
  <c r="F53" i="143"/>
  <c r="Q53" i="41" s="1"/>
  <c r="G53" i="143"/>
  <c r="R53" i="41" s="1"/>
  <c r="F53" i="146"/>
  <c r="S53" i="41" s="1"/>
  <c r="G53" i="146"/>
  <c r="T53" i="41" s="1"/>
  <c r="F54" i="143"/>
  <c r="Q54" i="41" s="1"/>
  <c r="G54" i="143"/>
  <c r="R54" i="41" s="1"/>
  <c r="F54" i="146"/>
  <c r="S54" i="41" s="1"/>
  <c r="G54" i="146"/>
  <c r="T54" i="41" s="1"/>
  <c r="F55" i="143"/>
  <c r="Q55" i="41" s="1"/>
  <c r="G55" i="143"/>
  <c r="R55" i="41"/>
  <c r="F55" i="146"/>
  <c r="S55" i="41" s="1"/>
  <c r="G55" i="146"/>
  <c r="T55" i="41" s="1"/>
  <c r="F56" i="143"/>
  <c r="Q56" i="41" s="1"/>
  <c r="G56" i="143"/>
  <c r="R56" i="41" s="1"/>
  <c r="F56" i="146"/>
  <c r="S56" i="41" s="1"/>
  <c r="G56" i="146"/>
  <c r="T56" i="41" s="1"/>
  <c r="F57" i="143"/>
  <c r="Q57" i="41" s="1"/>
  <c r="G57" i="143"/>
  <c r="R57" i="41" s="1"/>
  <c r="F57" i="146"/>
  <c r="S57" i="41" s="1"/>
  <c r="G57" i="146"/>
  <c r="T57" i="41" s="1"/>
  <c r="F58" i="143"/>
  <c r="Q58" i="41" s="1"/>
  <c r="G58" i="143"/>
  <c r="R58" i="41" s="1"/>
  <c r="F58" i="146"/>
  <c r="S58" i="41" s="1"/>
  <c r="G58" i="146"/>
  <c r="T58" i="41"/>
  <c r="F59" i="143"/>
  <c r="Q59" i="41"/>
  <c r="G59" i="143"/>
  <c r="R59" i="41" s="1"/>
  <c r="F59" i="146"/>
  <c r="S59" i="41" s="1"/>
  <c r="G59" i="146"/>
  <c r="T59" i="41" s="1"/>
  <c r="F60" i="143"/>
  <c r="Q60" i="41" s="1"/>
  <c r="G60" i="143"/>
  <c r="R60" i="41" s="1"/>
  <c r="F60" i="146"/>
  <c r="S60" i="41" s="1"/>
  <c r="G60" i="146"/>
  <c r="T60" i="41" s="1"/>
  <c r="F61" i="143"/>
  <c r="Q61" i="41"/>
  <c r="G61" i="143"/>
  <c r="R61" i="41" s="1"/>
  <c r="F61" i="146"/>
  <c r="S61" i="41" s="1"/>
  <c r="G61" i="146"/>
  <c r="T61" i="41" s="1"/>
  <c r="F62" i="143"/>
  <c r="Q62" i="41" s="1"/>
  <c r="G62" i="143"/>
  <c r="R62" i="41" s="1"/>
  <c r="F62" i="146"/>
  <c r="S62" i="41" s="1"/>
  <c r="G62" i="146"/>
  <c r="T62" i="41" s="1"/>
  <c r="F63" i="143"/>
  <c r="Q63" i="41"/>
  <c r="G63" i="143"/>
  <c r="R63" i="41" s="1"/>
  <c r="F63" i="146"/>
  <c r="S63" i="41" s="1"/>
  <c r="G63" i="146"/>
  <c r="T63" i="41" s="1"/>
  <c r="F64" i="143"/>
  <c r="Q64" i="41" s="1"/>
  <c r="G64" i="143"/>
  <c r="R64" i="41" s="1"/>
  <c r="F64" i="146"/>
  <c r="S64" i="41" s="1"/>
  <c r="G64" i="146"/>
  <c r="T64" i="41" s="1"/>
  <c r="C65" i="143"/>
  <c r="B65" i="143"/>
  <c r="B65" i="146"/>
  <c r="H7" i="93"/>
  <c r="I7" i="93"/>
  <c r="F8" i="93"/>
  <c r="H8" i="93"/>
  <c r="I8" i="93"/>
  <c r="K8" i="93"/>
  <c r="F9" i="93"/>
  <c r="H9" i="93"/>
  <c r="I9" i="93"/>
  <c r="F10" i="93"/>
  <c r="H10" i="93"/>
  <c r="I10" i="93"/>
  <c r="F11" i="93"/>
  <c r="H11" i="93"/>
  <c r="I11" i="93"/>
  <c r="M11" i="93"/>
  <c r="F12" i="93"/>
  <c r="H12" i="93"/>
  <c r="I12" i="93"/>
  <c r="F13" i="93"/>
  <c r="H13" i="93"/>
  <c r="I13" i="93"/>
  <c r="F14" i="93"/>
  <c r="H14" i="93"/>
  <c r="I14" i="93"/>
  <c r="J14" i="93"/>
  <c r="N14" i="93"/>
  <c r="F15" i="93"/>
  <c r="H15" i="93"/>
  <c r="I15" i="93"/>
  <c r="F16" i="93"/>
  <c r="H16" i="93"/>
  <c r="I16" i="93"/>
  <c r="K16" i="93"/>
  <c r="F17" i="93"/>
  <c r="H17" i="93"/>
  <c r="I17" i="93"/>
  <c r="F18" i="93"/>
  <c r="H18" i="93"/>
  <c r="I18" i="93"/>
  <c r="J18" i="93"/>
  <c r="N18" i="93"/>
  <c r="F19" i="93"/>
  <c r="H19" i="93"/>
  <c r="I19" i="93"/>
  <c r="J19" i="93"/>
  <c r="N19" i="93"/>
  <c r="F20" i="93"/>
  <c r="H20" i="93"/>
  <c r="I20" i="93"/>
  <c r="F21" i="93"/>
  <c r="H21" i="93"/>
  <c r="I21" i="93"/>
  <c r="F22" i="93"/>
  <c r="H22" i="93"/>
  <c r="I22" i="93"/>
  <c r="K22" i="93"/>
  <c r="F23" i="93"/>
  <c r="H23" i="93"/>
  <c r="I23" i="93"/>
  <c r="F24" i="93"/>
  <c r="H24" i="93"/>
  <c r="I24" i="93"/>
  <c r="F25" i="93"/>
  <c r="H25" i="93"/>
  <c r="I25" i="93"/>
  <c r="F26" i="93"/>
  <c r="H26" i="93"/>
  <c r="I26" i="93"/>
  <c r="F27" i="93"/>
  <c r="H27" i="93"/>
  <c r="I27" i="93"/>
  <c r="J27" i="93"/>
  <c r="N27" i="93"/>
  <c r="F28" i="93"/>
  <c r="H28" i="93"/>
  <c r="I28" i="93"/>
  <c r="F29" i="93"/>
  <c r="H29" i="93"/>
  <c r="I29" i="93"/>
  <c r="K29" i="93"/>
  <c r="F30" i="93"/>
  <c r="H30" i="93"/>
  <c r="I30" i="93"/>
  <c r="K30" i="93"/>
  <c r="F31" i="93"/>
  <c r="H31" i="93"/>
  <c r="I31" i="93"/>
  <c r="F32" i="93"/>
  <c r="H32" i="93"/>
  <c r="I32" i="93"/>
  <c r="F33" i="93"/>
  <c r="H33" i="93"/>
  <c r="I33" i="93"/>
  <c r="F34" i="93"/>
  <c r="H34" i="93"/>
  <c r="I34" i="93"/>
  <c r="K34" i="93"/>
  <c r="F35" i="93"/>
  <c r="H35" i="93"/>
  <c r="I35" i="93"/>
  <c r="F36" i="93"/>
  <c r="H36" i="93"/>
  <c r="I36" i="93"/>
  <c r="F37" i="93"/>
  <c r="H37" i="93"/>
  <c r="I37" i="93"/>
  <c r="F38" i="93"/>
  <c r="H38" i="93"/>
  <c r="I38" i="93"/>
  <c r="J38" i="93"/>
  <c r="N38" i="93"/>
  <c r="F39" i="93"/>
  <c r="H39" i="93"/>
  <c r="I39" i="93"/>
  <c r="K39" i="93"/>
  <c r="F40" i="93"/>
  <c r="H40" i="93"/>
  <c r="I40" i="93"/>
  <c r="F41" i="93"/>
  <c r="H41" i="93"/>
  <c r="I41" i="93"/>
  <c r="F42" i="93"/>
  <c r="H42" i="93"/>
  <c r="I42" i="93"/>
  <c r="J42" i="93"/>
  <c r="K42" i="93"/>
  <c r="F43" i="93"/>
  <c r="H43" i="93"/>
  <c r="I43" i="93"/>
  <c r="M43" i="93"/>
  <c r="F44" i="93"/>
  <c r="H44" i="93"/>
  <c r="I44" i="93"/>
  <c r="F45" i="93"/>
  <c r="H45" i="93"/>
  <c r="I45" i="93"/>
  <c r="K45" i="93"/>
  <c r="F46" i="93"/>
  <c r="H46" i="93"/>
  <c r="I46" i="93"/>
  <c r="J46" i="93"/>
  <c r="N46" i="93"/>
  <c r="F47" i="93"/>
  <c r="H47" i="93"/>
  <c r="I47" i="93"/>
  <c r="F48" i="93"/>
  <c r="H48" i="93"/>
  <c r="I48" i="93"/>
  <c r="K48" i="93"/>
  <c r="F49" i="93"/>
  <c r="H49" i="93"/>
  <c r="I49" i="93"/>
  <c r="J49" i="93"/>
  <c r="F50" i="93"/>
  <c r="H50" i="93"/>
  <c r="I50" i="93"/>
  <c r="K50" i="93"/>
  <c r="F51" i="93"/>
  <c r="H51" i="93"/>
  <c r="I51" i="93"/>
  <c r="J51" i="93"/>
  <c r="F52" i="93"/>
  <c r="H52" i="93"/>
  <c r="I52" i="93"/>
  <c r="F53" i="93"/>
  <c r="H53" i="93"/>
  <c r="I53" i="93"/>
  <c r="F54" i="93"/>
  <c r="H54" i="93"/>
  <c r="I54" i="93"/>
  <c r="F55" i="93"/>
  <c r="H55" i="93"/>
  <c r="I55" i="93"/>
  <c r="F56" i="93"/>
  <c r="H56" i="93"/>
  <c r="I56" i="93"/>
  <c r="M56" i="93"/>
  <c r="P56" i="93"/>
  <c r="Q56" i="93"/>
  <c r="F57" i="93"/>
  <c r="H57" i="93"/>
  <c r="I57" i="93"/>
  <c r="F58" i="93"/>
  <c r="H58" i="93"/>
  <c r="I58" i="93"/>
  <c r="F59" i="93"/>
  <c r="H59" i="93"/>
  <c r="I59" i="93"/>
  <c r="F60" i="93"/>
  <c r="H60" i="93"/>
  <c r="I60" i="93"/>
  <c r="F61" i="93"/>
  <c r="H61" i="93"/>
  <c r="I61" i="93"/>
  <c r="F62" i="93"/>
  <c r="H62" i="93"/>
  <c r="I62" i="93"/>
  <c r="F63" i="93"/>
  <c r="H63" i="93"/>
  <c r="I63" i="93"/>
  <c r="J63" i="93"/>
  <c r="N63" i="93"/>
  <c r="O63" i="93"/>
  <c r="F64" i="93"/>
  <c r="H64" i="93"/>
  <c r="I64" i="93"/>
  <c r="K64" i="93"/>
  <c r="F65" i="93"/>
  <c r="S65" i="83"/>
  <c r="C3" i="141"/>
  <c r="C4" i="141"/>
  <c r="D4" i="141"/>
  <c r="C5" i="141"/>
  <c r="D5" i="141"/>
  <c r="C6" i="141"/>
  <c r="D6" i="141"/>
  <c r="C7" i="141"/>
  <c r="D7" i="141"/>
  <c r="C8" i="141"/>
  <c r="D8" i="141"/>
  <c r="C9" i="141"/>
  <c r="D9" i="141"/>
  <c r="C10" i="141"/>
  <c r="D10" i="141"/>
  <c r="C11" i="141"/>
  <c r="D11" i="141"/>
  <c r="C12" i="141"/>
  <c r="D12" i="141"/>
  <c r="C13" i="141"/>
  <c r="D13" i="141"/>
  <c r="C14" i="141"/>
  <c r="D14" i="141"/>
  <c r="C15" i="141"/>
  <c r="D15" i="141"/>
  <c r="C16" i="141"/>
  <c r="D16" i="141"/>
  <c r="C17" i="141"/>
  <c r="D17" i="141"/>
  <c r="C18" i="141"/>
  <c r="D18" i="141"/>
  <c r="C19" i="141"/>
  <c r="D19" i="141"/>
  <c r="C20" i="141"/>
  <c r="D20" i="141"/>
  <c r="C21" i="141"/>
  <c r="D21" i="141"/>
  <c r="C22" i="141"/>
  <c r="D22" i="141"/>
  <c r="C23" i="141"/>
  <c r="D23" i="141"/>
  <c r="C24" i="141"/>
  <c r="D24" i="141"/>
  <c r="C25" i="141"/>
  <c r="D25" i="141"/>
  <c r="C26" i="141"/>
  <c r="D26" i="141"/>
  <c r="C27" i="141"/>
  <c r="D27" i="141"/>
  <c r="C28" i="141"/>
  <c r="D28" i="141"/>
  <c r="C29" i="141"/>
  <c r="D29" i="141"/>
  <c r="C30" i="141"/>
  <c r="D30" i="141"/>
  <c r="C31" i="141"/>
  <c r="D31" i="141"/>
  <c r="C32" i="141"/>
  <c r="D32" i="141"/>
  <c r="C33" i="141"/>
  <c r="D33" i="141"/>
  <c r="C34" i="141"/>
  <c r="D34" i="141"/>
  <c r="C35" i="141"/>
  <c r="D35" i="141"/>
  <c r="C36" i="141"/>
  <c r="D36" i="141"/>
  <c r="C37" i="141"/>
  <c r="D37" i="141"/>
  <c r="C38" i="141"/>
  <c r="D38" i="141"/>
  <c r="C39" i="141"/>
  <c r="D39" i="141"/>
  <c r="C40" i="141"/>
  <c r="D40" i="141"/>
  <c r="C41" i="141"/>
  <c r="D41" i="141"/>
  <c r="C42" i="141"/>
  <c r="D42" i="141"/>
  <c r="C43" i="141"/>
  <c r="D43" i="141"/>
  <c r="C44" i="141"/>
  <c r="D44" i="141"/>
  <c r="C45" i="141"/>
  <c r="D45" i="141"/>
  <c r="C46" i="141"/>
  <c r="D46" i="141"/>
  <c r="C47" i="141"/>
  <c r="D47" i="141"/>
  <c r="C48" i="141"/>
  <c r="D48" i="141"/>
  <c r="C49" i="141"/>
  <c r="D49" i="141"/>
  <c r="C50" i="141"/>
  <c r="D50" i="141"/>
  <c r="C51" i="141"/>
  <c r="D51" i="141"/>
  <c r="C52" i="141"/>
  <c r="D52" i="141"/>
  <c r="C53" i="141"/>
  <c r="D53" i="141"/>
  <c r="C54" i="141"/>
  <c r="D54" i="141"/>
  <c r="C55" i="141"/>
  <c r="D55" i="141"/>
  <c r="C56" i="141"/>
  <c r="D56" i="141"/>
  <c r="C57" i="141"/>
  <c r="D57" i="141"/>
  <c r="C58" i="141"/>
  <c r="D58" i="141"/>
  <c r="C59" i="141"/>
  <c r="D59" i="141"/>
  <c r="C60" i="141"/>
  <c r="D60" i="141"/>
  <c r="D3" i="141"/>
  <c r="C61" i="141"/>
  <c r="E4" i="141"/>
  <c r="E5" i="141"/>
  <c r="E6" i="141"/>
  <c r="E7" i="141"/>
  <c r="E8" i="141"/>
  <c r="E9" i="141"/>
  <c r="E10" i="141"/>
  <c r="E11" i="141"/>
  <c r="E12" i="141"/>
  <c r="E13" i="141"/>
  <c r="E14" i="141"/>
  <c r="E15" i="141"/>
  <c r="E16" i="141"/>
  <c r="E17" i="141"/>
  <c r="E18" i="141"/>
  <c r="E19" i="141"/>
  <c r="E20" i="141"/>
  <c r="E21" i="141"/>
  <c r="E22" i="141"/>
  <c r="E23" i="141"/>
  <c r="E24" i="141"/>
  <c r="E25" i="141"/>
  <c r="E26" i="141"/>
  <c r="E27" i="141"/>
  <c r="E28" i="141"/>
  <c r="E29" i="141"/>
  <c r="E30" i="141"/>
  <c r="E31" i="141"/>
  <c r="E32" i="141"/>
  <c r="E33" i="141"/>
  <c r="E34" i="141"/>
  <c r="E35" i="141"/>
  <c r="E36" i="141"/>
  <c r="E37" i="141"/>
  <c r="E38" i="141"/>
  <c r="E39" i="141"/>
  <c r="E40" i="141"/>
  <c r="E41" i="141"/>
  <c r="E42" i="141"/>
  <c r="E43" i="141"/>
  <c r="E44" i="141"/>
  <c r="E45" i="141"/>
  <c r="E46" i="141"/>
  <c r="E47" i="141"/>
  <c r="E48" i="141"/>
  <c r="E49" i="141"/>
  <c r="E50" i="141"/>
  <c r="E51" i="141"/>
  <c r="E52" i="141"/>
  <c r="E53" i="141"/>
  <c r="E54" i="141"/>
  <c r="E55" i="141"/>
  <c r="E56" i="141"/>
  <c r="E57" i="141"/>
  <c r="E58" i="141"/>
  <c r="E59" i="141"/>
  <c r="E60" i="141"/>
  <c r="E3" i="141"/>
  <c r="F59" i="141"/>
  <c r="F28" i="141"/>
  <c r="F44" i="141"/>
  <c r="F17" i="141"/>
  <c r="F33" i="141"/>
  <c r="F49" i="141"/>
  <c r="F6" i="141"/>
  <c r="F22" i="141"/>
  <c r="F38" i="141"/>
  <c r="F54" i="141"/>
  <c r="F15" i="141"/>
  <c r="F31" i="141"/>
  <c r="F47" i="141"/>
  <c r="F12" i="141"/>
  <c r="F60" i="141"/>
  <c r="F16" i="141"/>
  <c r="F5" i="141"/>
  <c r="F37" i="141"/>
  <c r="F53" i="141"/>
  <c r="F10" i="141"/>
  <c r="F26" i="141"/>
  <c r="F42" i="141"/>
  <c r="F58" i="141"/>
  <c r="F19" i="141"/>
  <c r="F35" i="141"/>
  <c r="F51" i="141"/>
  <c r="F32" i="141"/>
  <c r="F48" i="141"/>
  <c r="F21" i="141"/>
  <c r="F4" i="141"/>
  <c r="F20" i="141"/>
  <c r="F36" i="141"/>
  <c r="F52" i="141"/>
  <c r="F9" i="141"/>
  <c r="F25" i="141"/>
  <c r="F41" i="141"/>
  <c r="F57" i="141"/>
  <c r="F14" i="141"/>
  <c r="F30" i="141"/>
  <c r="F46" i="141"/>
  <c r="F7" i="141"/>
  <c r="F23" i="141"/>
  <c r="F39" i="141"/>
  <c r="F55" i="141"/>
  <c r="F8" i="141"/>
  <c r="F24" i="141"/>
  <c r="F40" i="141"/>
  <c r="F56" i="141"/>
  <c r="F13" i="141"/>
  <c r="F29" i="141"/>
  <c r="F45" i="141"/>
  <c r="F3" i="141"/>
  <c r="F18" i="141"/>
  <c r="F34" i="141"/>
  <c r="F50" i="141"/>
  <c r="F11" i="141"/>
  <c r="F27" i="141"/>
  <c r="F43" i="141"/>
  <c r="J65" i="83"/>
  <c r="H65" i="83"/>
  <c r="O65" i="83"/>
  <c r="G65" i="83"/>
  <c r="F65" i="83"/>
  <c r="E65" i="83"/>
  <c r="D65" i="83"/>
  <c r="L65" i="83"/>
  <c r="I65" i="83"/>
  <c r="Q65" i="83"/>
  <c r="I3" i="141"/>
  <c r="I39" i="141"/>
  <c r="O39" i="141"/>
  <c r="P39" i="141"/>
  <c r="I21" i="141"/>
  <c r="O21" i="141"/>
  <c r="P21" i="141"/>
  <c r="I17" i="141"/>
  <c r="O17" i="141"/>
  <c r="P17" i="141"/>
  <c r="I38" i="141"/>
  <c r="I32" i="141"/>
  <c r="I40" i="141"/>
  <c r="I47" i="141"/>
  <c r="O47" i="141"/>
  <c r="P47" i="141"/>
  <c r="I58" i="141"/>
  <c r="I35" i="141"/>
  <c r="O35" i="141"/>
  <c r="P35" i="141"/>
  <c r="I36" i="141"/>
  <c r="J43" i="93"/>
  <c r="N43" i="93"/>
  <c r="N51" i="93"/>
  <c r="K44" i="93"/>
  <c r="N42" i="93"/>
  <c r="I9" i="141"/>
  <c r="O9" i="141"/>
  <c r="P9" i="141"/>
  <c r="I26" i="141"/>
  <c r="O26" i="141"/>
  <c r="P26" i="141"/>
  <c r="I14" i="141"/>
  <c r="O14" i="141"/>
  <c r="P14" i="141"/>
  <c r="I42" i="141"/>
  <c r="I52" i="141"/>
  <c r="I15" i="141"/>
  <c r="O15" i="141"/>
  <c r="P15" i="141"/>
  <c r="I6" i="141"/>
  <c r="O6" i="141"/>
  <c r="P6" i="141"/>
  <c r="I29" i="141"/>
  <c r="O29" i="141"/>
  <c r="P29" i="141"/>
  <c r="I44" i="141"/>
  <c r="I33" i="141"/>
  <c r="O33" i="141"/>
  <c r="P33" i="141"/>
  <c r="I46" i="141"/>
  <c r="O46" i="141"/>
  <c r="P46" i="141"/>
  <c r="I60" i="141"/>
  <c r="I22" i="141"/>
  <c r="I54" i="141"/>
  <c r="O54" i="141"/>
  <c r="P54" i="141"/>
  <c r="I11" i="141"/>
  <c r="O11" i="141"/>
  <c r="P11" i="141"/>
  <c r="I56" i="141"/>
  <c r="I45" i="141"/>
  <c r="O45" i="141"/>
  <c r="P45" i="141"/>
  <c r="I31" i="141"/>
  <c r="O31" i="141"/>
  <c r="P31" i="141"/>
  <c r="I23" i="141"/>
  <c r="O23" i="141"/>
  <c r="P23" i="141"/>
  <c r="I53" i="141"/>
  <c r="O53" i="141"/>
  <c r="P53" i="141"/>
  <c r="I43" i="141"/>
  <c r="O43" i="141"/>
  <c r="P43" i="141"/>
  <c r="I59" i="141"/>
  <c r="O59" i="141"/>
  <c r="P59" i="141"/>
  <c r="I30" i="141"/>
  <c r="O30" i="141"/>
  <c r="P30" i="141"/>
  <c r="I25" i="141"/>
  <c r="O25" i="141"/>
  <c r="P25" i="141"/>
  <c r="I12" i="141"/>
  <c r="I50" i="141"/>
  <c r="O50" i="141"/>
  <c r="P50" i="141"/>
  <c r="I18" i="141"/>
  <c r="O18" i="141"/>
  <c r="P18" i="141"/>
  <c r="I51" i="141"/>
  <c r="O51" i="141"/>
  <c r="P51" i="141"/>
  <c r="I41" i="141"/>
  <c r="O41" i="141"/>
  <c r="P41" i="141"/>
  <c r="O42" i="93"/>
  <c r="P43" i="93"/>
  <c r="Q43" i="93"/>
  <c r="J48" i="93"/>
  <c r="N48" i="93"/>
  <c r="K19" i="93"/>
  <c r="O19" i="93"/>
  <c r="J16" i="93"/>
  <c r="N16" i="93"/>
  <c r="O16" i="93"/>
  <c r="J34" i="93"/>
  <c r="N34" i="93"/>
  <c r="O34" i="93"/>
  <c r="K47" i="93"/>
  <c r="K27" i="93"/>
  <c r="K46" i="93"/>
  <c r="O46" i="93"/>
  <c r="K18" i="93"/>
  <c r="J22" i="93"/>
  <c r="N22" i="93"/>
  <c r="K26" i="93"/>
  <c r="O26" i="93"/>
  <c r="J26" i="93"/>
  <c r="N26" i="93"/>
  <c r="K63" i="93"/>
  <c r="J35" i="93"/>
  <c r="N35" i="93"/>
  <c r="J60" i="93"/>
  <c r="N60" i="93"/>
  <c r="K15" i="93"/>
  <c r="M19" i="93"/>
  <c r="P19" i="93"/>
  <c r="Q19" i="93"/>
  <c r="M63" i="93"/>
  <c r="P63" i="93"/>
  <c r="Q63" i="93"/>
  <c r="M30" i="93"/>
  <c r="P30" i="93"/>
  <c r="Q30" i="93"/>
  <c r="M57" i="93"/>
  <c r="P57" i="93"/>
  <c r="Q57" i="93"/>
  <c r="H53" i="141"/>
  <c r="M53" i="141"/>
  <c r="N53" i="141"/>
  <c r="O18" i="93"/>
  <c r="M18" i="93"/>
  <c r="P18" i="93"/>
  <c r="Q18" i="93"/>
  <c r="M58" i="93"/>
  <c r="P58" i="93"/>
  <c r="Q58" i="93"/>
  <c r="M46" i="93"/>
  <c r="P46" i="93"/>
  <c r="Q46" i="93"/>
  <c r="M26" i="93"/>
  <c r="P26" i="93"/>
  <c r="Q26" i="93"/>
  <c r="M10" i="93"/>
  <c r="P10" i="93"/>
  <c r="Q10" i="93"/>
  <c r="M27" i="93"/>
  <c r="P27" i="93"/>
  <c r="Q27" i="93"/>
  <c r="M34" i="93"/>
  <c r="P34" i="93"/>
  <c r="Q34" i="93"/>
  <c r="M16" i="93"/>
  <c r="P16" i="93"/>
  <c r="Q16" i="93"/>
  <c r="I10" i="141"/>
  <c r="O10" i="141"/>
  <c r="P10" i="141"/>
  <c r="I27" i="141"/>
  <c r="O27" i="141"/>
  <c r="P27" i="141"/>
  <c r="I13" i="141"/>
  <c r="O13" i="141"/>
  <c r="P13" i="141"/>
  <c r="I7" i="141"/>
  <c r="O7" i="141"/>
  <c r="P7" i="141"/>
  <c r="I19" i="141"/>
  <c r="O19" i="141"/>
  <c r="P19" i="141"/>
  <c r="I5" i="141"/>
  <c r="O5" i="141"/>
  <c r="P5" i="141"/>
  <c r="I8" i="141"/>
  <c r="O8" i="141"/>
  <c r="P8" i="141"/>
  <c r="I28" i="141"/>
  <c r="O28" i="141"/>
  <c r="P28" i="141"/>
  <c r="I24" i="141"/>
  <c r="O24" i="141"/>
  <c r="P24" i="141"/>
  <c r="I48" i="141"/>
  <c r="O48" i="141"/>
  <c r="P48" i="141"/>
  <c r="I57" i="141"/>
  <c r="O57" i="141"/>
  <c r="P57" i="141"/>
  <c r="I20" i="141"/>
  <c r="O20" i="141"/>
  <c r="P20" i="141"/>
  <c r="I16" i="141"/>
  <c r="O16" i="141"/>
  <c r="P16" i="141"/>
  <c r="I34" i="141"/>
  <c r="O34" i="141"/>
  <c r="P34" i="141"/>
  <c r="I55" i="141"/>
  <c r="O55" i="141"/>
  <c r="P55" i="141"/>
  <c r="I37" i="141"/>
  <c r="O37" i="141"/>
  <c r="P37" i="141"/>
  <c r="I49" i="141"/>
  <c r="O49" i="141"/>
  <c r="P49" i="141"/>
  <c r="J28" i="93"/>
  <c r="N28" i="93"/>
  <c r="O28" i="93"/>
  <c r="K28" i="93"/>
  <c r="J20" i="93"/>
  <c r="N20" i="93"/>
  <c r="K20" i="93"/>
  <c r="J59" i="93"/>
  <c r="N59" i="93"/>
  <c r="K59" i="93"/>
  <c r="O59" i="93"/>
  <c r="J24" i="93"/>
  <c r="N24" i="93"/>
  <c r="K24" i="93"/>
  <c r="O24" i="93"/>
  <c r="J31" i="93"/>
  <c r="N31" i="93"/>
  <c r="K31" i="93"/>
  <c r="K23" i="93"/>
  <c r="J23" i="93"/>
  <c r="N23" i="93"/>
  <c r="O23" i="93"/>
  <c r="J12" i="93"/>
  <c r="N12" i="93"/>
  <c r="K12" i="93"/>
  <c r="K52" i="93"/>
  <c r="O52" i="93"/>
  <c r="J52" i="93"/>
  <c r="N52" i="93"/>
  <c r="K32" i="93"/>
  <c r="J32" i="93"/>
  <c r="N32" i="93"/>
  <c r="I4" i="141"/>
  <c r="O4" i="141"/>
  <c r="P4" i="141"/>
  <c r="P11" i="93"/>
  <c r="Q11" i="93"/>
  <c r="M28" i="93"/>
  <c r="P28" i="93"/>
  <c r="Q28" i="93"/>
  <c r="H24" i="141"/>
  <c r="M24" i="141"/>
  <c r="N24" i="141"/>
  <c r="M31" i="93"/>
  <c r="P31" i="93"/>
  <c r="Q31" i="93"/>
  <c r="M59" i="93"/>
  <c r="P59" i="93"/>
  <c r="Q59" i="93"/>
  <c r="M32" i="93"/>
  <c r="P32" i="93"/>
  <c r="Q32" i="93"/>
  <c r="J28" i="141"/>
  <c r="M12" i="93"/>
  <c r="P12" i="93"/>
  <c r="Q12" i="93"/>
  <c r="M52" i="93"/>
  <c r="P52" i="93"/>
  <c r="T52" i="93"/>
  <c r="M23" i="93"/>
  <c r="P23" i="93"/>
  <c r="Q23" i="93"/>
  <c r="H19" i="141"/>
  <c r="M19" i="141"/>
  <c r="N19" i="141"/>
  <c r="M24" i="93"/>
  <c r="P24" i="93"/>
  <c r="Q24" i="93"/>
  <c r="M20" i="93"/>
  <c r="P20" i="93"/>
  <c r="Q20" i="93"/>
  <c r="J8" i="93"/>
  <c r="N8" i="93"/>
  <c r="O8" i="93"/>
  <c r="M8" i="93"/>
  <c r="P8" i="93"/>
  <c r="J55" i="141"/>
  <c r="H29" i="141"/>
  <c r="M29" i="141"/>
  <c r="N29" i="141"/>
  <c r="H54" i="141"/>
  <c r="H50" i="141"/>
  <c r="M50" i="141"/>
  <c r="H40" i="141"/>
  <c r="M40" i="141"/>
  <c r="N40" i="141"/>
  <c r="H32" i="141"/>
  <c r="H8" i="141"/>
  <c r="H17" i="141"/>
  <c r="M17" i="141"/>
  <c r="N17" i="141"/>
  <c r="J43" i="141"/>
  <c r="H26" i="141"/>
  <c r="M9" i="93"/>
  <c r="P9" i="93"/>
  <c r="Q9" i="93"/>
  <c r="R9" i="93"/>
  <c r="J5" i="141"/>
  <c r="K9" i="93"/>
  <c r="J9" i="93"/>
  <c r="N9" i="93"/>
  <c r="O31" i="93"/>
  <c r="N49" i="93"/>
  <c r="M49" i="93"/>
  <c r="P49" i="93"/>
  <c r="Q49" i="93"/>
  <c r="R49" i="93"/>
  <c r="J45" i="141"/>
  <c r="J37" i="93"/>
  <c r="N37" i="93"/>
  <c r="K37" i="93"/>
  <c r="M37" i="93"/>
  <c r="P37" i="93"/>
  <c r="Q37" i="93"/>
  <c r="J21" i="93"/>
  <c r="N21" i="93"/>
  <c r="K21" i="93"/>
  <c r="M21" i="93"/>
  <c r="P21" i="93"/>
  <c r="Q21" i="93"/>
  <c r="J41" i="93"/>
  <c r="N41" i="93"/>
  <c r="K41" i="93"/>
  <c r="O41" i="93"/>
  <c r="M41" i="93"/>
  <c r="P41" i="93"/>
  <c r="Q41" i="93"/>
  <c r="R41" i="93"/>
  <c r="J61" i="93"/>
  <c r="N61" i="93"/>
  <c r="O61" i="93"/>
  <c r="M61" i="93"/>
  <c r="P61" i="93"/>
  <c r="Q61" i="93"/>
  <c r="H57" i="141"/>
  <c r="M57" i="141"/>
  <c r="N57" i="141"/>
  <c r="K61" i="93"/>
  <c r="O48" i="93"/>
  <c r="J33" i="93"/>
  <c r="N33" i="93"/>
  <c r="K33" i="93"/>
  <c r="M33" i="93"/>
  <c r="P33" i="93"/>
  <c r="Q33" i="93"/>
  <c r="M17" i="93"/>
  <c r="P17" i="93"/>
  <c r="Q17" i="93"/>
  <c r="H13" i="141"/>
  <c r="M13" i="141"/>
  <c r="N13" i="141"/>
  <c r="K17" i="93"/>
  <c r="O17" i="93"/>
  <c r="J17" i="93"/>
  <c r="N17" i="93"/>
  <c r="J25" i="93"/>
  <c r="N25" i="93"/>
  <c r="M25" i="93"/>
  <c r="P25" i="93"/>
  <c r="Q25" i="93"/>
  <c r="K25" i="93"/>
  <c r="M53" i="93"/>
  <c r="P53" i="93"/>
  <c r="Q53" i="93"/>
  <c r="K53" i="93"/>
  <c r="J53" i="93"/>
  <c r="N53" i="93"/>
  <c r="J45" i="93"/>
  <c r="N45" i="93"/>
  <c r="O45" i="93"/>
  <c r="M45" i="93"/>
  <c r="P45" i="93"/>
  <c r="Q45" i="93"/>
  <c r="R45" i="93"/>
  <c r="J29" i="93"/>
  <c r="N29" i="93"/>
  <c r="M29" i="93"/>
  <c r="P29" i="93"/>
  <c r="Q29" i="93"/>
  <c r="H25" i="141"/>
  <c r="M25" i="141"/>
  <c r="N25" i="141"/>
  <c r="M13" i="93"/>
  <c r="P13" i="93"/>
  <c r="Q13" i="93"/>
  <c r="R13" i="93"/>
  <c r="H9" i="141"/>
  <c r="M9" i="141"/>
  <c r="N9" i="141"/>
  <c r="J13" i="93"/>
  <c r="N13" i="93"/>
  <c r="K13" i="93"/>
  <c r="K38" i="93"/>
  <c r="O38" i="93"/>
  <c r="K14" i="93"/>
  <c r="O14" i="93"/>
  <c r="M50" i="93"/>
  <c r="P50" i="93"/>
  <c r="Q50" i="93"/>
  <c r="H46" i="141"/>
  <c r="M46" i="141"/>
  <c r="N46" i="141"/>
  <c r="M64" i="93"/>
  <c r="P64" i="93"/>
  <c r="Q64" i="93"/>
  <c r="J64" i="93"/>
  <c r="N64" i="93"/>
  <c r="O64" i="93"/>
  <c r="J30" i="93"/>
  <c r="N30" i="93"/>
  <c r="O30" i="93"/>
  <c r="M42" i="93"/>
  <c r="P42" i="93"/>
  <c r="Q42" i="93"/>
  <c r="H38" i="141"/>
  <c r="M38" i="141"/>
  <c r="N38" i="141"/>
  <c r="K36" i="93"/>
  <c r="K54" i="93"/>
  <c r="M54" i="93"/>
  <c r="P54" i="93"/>
  <c r="Q54" i="93"/>
  <c r="J54" i="93"/>
  <c r="N54" i="93"/>
  <c r="K40" i="93"/>
  <c r="M40" i="93"/>
  <c r="P40" i="93"/>
  <c r="Q40" i="93"/>
  <c r="J36" i="141"/>
  <c r="J40" i="93"/>
  <c r="N40" i="93"/>
  <c r="M35" i="93"/>
  <c r="P35" i="93"/>
  <c r="Q35" i="93"/>
  <c r="H31" i="141"/>
  <c r="M31" i="141"/>
  <c r="N31" i="141"/>
  <c r="K35" i="93"/>
  <c r="O35" i="93"/>
  <c r="O27" i="93"/>
  <c r="M55" i="93"/>
  <c r="P55" i="93"/>
  <c r="Q55" i="93"/>
  <c r="K55" i="93"/>
  <c r="M38" i="93"/>
  <c r="P38" i="93"/>
  <c r="Q38" i="93"/>
  <c r="H34" i="141"/>
  <c r="M34" i="141"/>
  <c r="N34" i="141"/>
  <c r="M48" i="93"/>
  <c r="P48" i="93"/>
  <c r="Q48" i="93"/>
  <c r="J50" i="93"/>
  <c r="N50" i="93"/>
  <c r="O50" i="93"/>
  <c r="K58" i="93"/>
  <c r="J58" i="93"/>
  <c r="N58" i="93"/>
  <c r="O58" i="93"/>
  <c r="K56" i="93"/>
  <c r="J56" i="93"/>
  <c r="N56" i="93"/>
  <c r="O56" i="93"/>
  <c r="M47" i="93"/>
  <c r="P47" i="93"/>
  <c r="Q47" i="93"/>
  <c r="H43" i="141"/>
  <c r="M43" i="141"/>
  <c r="N43" i="141"/>
  <c r="J47" i="93"/>
  <c r="N47" i="93"/>
  <c r="O47" i="93"/>
  <c r="K10" i="93"/>
  <c r="J10" i="93"/>
  <c r="N10" i="93"/>
  <c r="K57" i="93"/>
  <c r="O57" i="93"/>
  <c r="J57" i="93"/>
  <c r="N57" i="93"/>
  <c r="O32" i="93"/>
  <c r="M22" i="93"/>
  <c r="P22" i="93"/>
  <c r="Q22" i="93"/>
  <c r="H18" i="141"/>
  <c r="M18" i="141"/>
  <c r="N18" i="141"/>
  <c r="J55" i="93"/>
  <c r="N55" i="93"/>
  <c r="J62" i="93"/>
  <c r="N62" i="93"/>
  <c r="M62" i="93"/>
  <c r="P62" i="93"/>
  <c r="Q62" i="93"/>
  <c r="K62" i="93"/>
  <c r="K60" i="93"/>
  <c r="O60" i="93"/>
  <c r="M60" i="93"/>
  <c r="P60" i="93"/>
  <c r="Q60" i="93"/>
  <c r="M51" i="93"/>
  <c r="P51" i="93"/>
  <c r="Q51" i="93"/>
  <c r="H47" i="141"/>
  <c r="M47" i="141"/>
  <c r="N47" i="141"/>
  <c r="K51" i="93"/>
  <c r="O51" i="93"/>
  <c r="J44" i="93"/>
  <c r="N44" i="93"/>
  <c r="O44" i="93"/>
  <c r="M44" i="93"/>
  <c r="P44" i="93"/>
  <c r="Q44" i="93"/>
  <c r="M39" i="93"/>
  <c r="P39" i="93"/>
  <c r="Q39" i="93"/>
  <c r="J39" i="93"/>
  <c r="N39" i="93"/>
  <c r="O39" i="93"/>
  <c r="M15" i="93"/>
  <c r="P15" i="93"/>
  <c r="Q15" i="93"/>
  <c r="H11" i="141"/>
  <c r="M11" i="141"/>
  <c r="N11" i="141"/>
  <c r="J15" i="93"/>
  <c r="N15" i="93"/>
  <c r="O15" i="93"/>
  <c r="O36" i="141"/>
  <c r="P36" i="141"/>
  <c r="O40" i="141"/>
  <c r="P40" i="141"/>
  <c r="O12" i="141"/>
  <c r="P12" i="141"/>
  <c r="O22" i="141"/>
  <c r="P22" i="141"/>
  <c r="O44" i="141"/>
  <c r="P44" i="141"/>
  <c r="O52" i="141"/>
  <c r="P52" i="141"/>
  <c r="O32" i="141"/>
  <c r="P32" i="141"/>
  <c r="O56" i="141"/>
  <c r="P56" i="141"/>
  <c r="O60" i="141"/>
  <c r="P60" i="141"/>
  <c r="O42" i="141"/>
  <c r="P42" i="141"/>
  <c r="O58" i="141"/>
  <c r="P58" i="141"/>
  <c r="O38" i="141"/>
  <c r="P38" i="141"/>
  <c r="Q8" i="93"/>
  <c r="H4" i="141"/>
  <c r="M4" i="141"/>
  <c r="N4" i="141"/>
  <c r="S8" i="93"/>
  <c r="T8" i="93"/>
  <c r="Q52" i="93"/>
  <c r="H48" i="141"/>
  <c r="M48" i="141"/>
  <c r="N48" i="141"/>
  <c r="S52" i="93"/>
  <c r="M32" i="141"/>
  <c r="N32" i="141"/>
  <c r="M26" i="141"/>
  <c r="N26" i="141"/>
  <c r="J57" i="141"/>
  <c r="M8" i="141"/>
  <c r="N8" i="141"/>
  <c r="M54" i="141"/>
  <c r="N54" i="141"/>
  <c r="N50" i="141"/>
  <c r="J25" i="141"/>
  <c r="J11" i="141"/>
  <c r="J9" i="141"/>
  <c r="J40" i="141"/>
  <c r="J20" i="141"/>
  <c r="H20" i="141"/>
  <c r="M20" i="141"/>
  <c r="N20" i="141"/>
  <c r="J60" i="141"/>
  <c r="H60" i="141"/>
  <c r="M60" i="141"/>
  <c r="N60" i="141"/>
  <c r="H41" i="141"/>
  <c r="M41" i="141"/>
  <c r="N41" i="141"/>
  <c r="J41" i="141"/>
  <c r="J14" i="141"/>
  <c r="H14" i="141"/>
  <c r="M14" i="141"/>
  <c r="N14" i="141"/>
  <c r="J35" i="141"/>
  <c r="H35" i="141"/>
  <c r="M35" i="141"/>
  <c r="N35" i="141"/>
  <c r="J39" i="141"/>
  <c r="H39" i="141"/>
  <c r="M39" i="141"/>
  <c r="N39" i="141"/>
  <c r="J26" i="141"/>
  <c r="J34" i="141"/>
  <c r="J50" i="141"/>
  <c r="J8" i="141"/>
  <c r="J32" i="141"/>
  <c r="J30" i="141"/>
  <c r="J52" i="141"/>
  <c r="J23" i="141"/>
  <c r="J6" i="141"/>
  <c r="J7" i="141"/>
  <c r="J58" i="141"/>
  <c r="H58" i="141"/>
  <c r="M58" i="141"/>
  <c r="N58" i="141"/>
  <c r="J44" i="141"/>
  <c r="H44" i="141"/>
  <c r="M44" i="141"/>
  <c r="N44" i="141"/>
  <c r="H27" i="141"/>
  <c r="M27" i="141"/>
  <c r="N27" i="141"/>
  <c r="J27" i="141"/>
  <c r="H36" i="141"/>
  <c r="M36" i="141"/>
  <c r="N36" i="141"/>
  <c r="H30" i="141"/>
  <c r="M30" i="141"/>
  <c r="N30" i="141"/>
  <c r="H7" i="141"/>
  <c r="M7" i="141"/>
  <c r="N7" i="141"/>
  <c r="J46" i="141"/>
  <c r="H28" i="141"/>
  <c r="M28" i="141"/>
  <c r="N28" i="141"/>
  <c r="J24" i="141"/>
  <c r="H5" i="141"/>
  <c r="M5" i="141"/>
  <c r="N5" i="141"/>
  <c r="H55" i="141"/>
  <c r="M55" i="141"/>
  <c r="N55" i="141"/>
  <c r="J19" i="141"/>
  <c r="H23" i="141"/>
  <c r="M23" i="141"/>
  <c r="N23" i="141"/>
  <c r="J29" i="141"/>
  <c r="J47" i="141"/>
  <c r="J17" i="141"/>
  <c r="J10" i="141"/>
  <c r="J18" i="141"/>
  <c r="H22" i="141"/>
  <c r="M22" i="141"/>
  <c r="N22" i="141"/>
  <c r="J22" i="141"/>
  <c r="H49" i="141"/>
  <c r="M49" i="141"/>
  <c r="N49" i="141"/>
  <c r="J49" i="141"/>
  <c r="H59" i="141"/>
  <c r="M59" i="141"/>
  <c r="N59" i="141"/>
  <c r="J59" i="141"/>
  <c r="J31" i="141"/>
  <c r="J4" i="141"/>
  <c r="J42" i="141"/>
  <c r="H42" i="141"/>
  <c r="M42" i="141"/>
  <c r="N42" i="141"/>
  <c r="H52" i="141"/>
  <c r="M52" i="141"/>
  <c r="N52" i="141"/>
  <c r="J53" i="141"/>
  <c r="H10" i="141"/>
  <c r="M10" i="141"/>
  <c r="N10" i="141"/>
  <c r="J38" i="141"/>
  <c r="J13" i="141"/>
  <c r="H6" i="141"/>
  <c r="M6" i="141"/>
  <c r="N6" i="141"/>
  <c r="H51" i="141"/>
  <c r="M51" i="141"/>
  <c r="N51" i="141"/>
  <c r="H15" i="141"/>
  <c r="M15" i="141"/>
  <c r="N15" i="141"/>
  <c r="H21" i="141"/>
  <c r="M21" i="141"/>
  <c r="N21" i="141"/>
  <c r="H16" i="141"/>
  <c r="M16" i="141"/>
  <c r="N16" i="141"/>
  <c r="H56" i="141"/>
  <c r="M56" i="141"/>
  <c r="N56" i="141"/>
  <c r="M7" i="93"/>
  <c r="J7" i="93"/>
  <c r="N7" i="93"/>
  <c r="O7" i="93"/>
  <c r="K7" i="93"/>
  <c r="H45" i="141"/>
  <c r="M45" i="141"/>
  <c r="N45" i="141"/>
  <c r="H12" i="141"/>
  <c r="M12" i="141"/>
  <c r="N12" i="141"/>
  <c r="H33" i="141"/>
  <c r="M33" i="141"/>
  <c r="N33" i="141"/>
  <c r="H37" i="141"/>
  <c r="M37" i="141"/>
  <c r="N37" i="141"/>
  <c r="I61" i="141"/>
  <c r="O29" i="93"/>
  <c r="O25" i="93"/>
  <c r="O33" i="93"/>
  <c r="O37" i="93"/>
  <c r="O62" i="93"/>
  <c r="O54" i="93"/>
  <c r="O53" i="93"/>
  <c r="O21" i="93"/>
  <c r="J54" i="141"/>
  <c r="J61" i="141"/>
  <c r="J33" i="141"/>
  <c r="J21" i="141"/>
  <c r="J56" i="141"/>
  <c r="J16" i="141"/>
  <c r="J37" i="141"/>
  <c r="M65" i="93"/>
  <c r="P7" i="93"/>
  <c r="J48" i="141"/>
  <c r="J51" i="141"/>
  <c r="J15" i="141"/>
  <c r="J12" i="141"/>
  <c r="Q7" i="93"/>
  <c r="P65" i="93"/>
  <c r="Q65" i="93"/>
  <c r="R39" i="93"/>
  <c r="R51" i="93"/>
  <c r="R22" i="93"/>
  <c r="R30" i="93"/>
  <c r="R37" i="93"/>
  <c r="R16" i="93"/>
  <c r="R33" i="93"/>
  <c r="R47" i="93"/>
  <c r="R20" i="93"/>
  <c r="R11" i="93"/>
  <c r="R24" i="93"/>
  <c r="R43" i="93"/>
  <c r="R42" i="93"/>
  <c r="R40" i="93"/>
  <c r="R48" i="93"/>
  <c r="R50" i="93"/>
  <c r="R35" i="93"/>
  <c r="R27" i="93"/>
  <c r="R34" i="93"/>
  <c r="R26" i="93"/>
  <c r="R38" i="93"/>
  <c r="R23" i="93"/>
  <c r="R12" i="93"/>
  <c r="R25" i="93"/>
  <c r="R55" i="93"/>
  <c r="R15" i="93"/>
  <c r="R29" i="93"/>
  <c r="R58" i="93"/>
  <c r="R59" i="93"/>
  <c r="R52" i="93"/>
  <c r="R8" i="93"/>
  <c r="R21" i="93"/>
  <c r="R62" i="93"/>
  <c r="R10" i="93"/>
  <c r="R54" i="93"/>
  <c r="R28" i="93"/>
  <c r="R61" i="93"/>
  <c r="R32" i="93"/>
  <c r="R56" i="93"/>
  <c r="R18" i="93"/>
  <c r="R64" i="93"/>
  <c r="R46" i="93"/>
  <c r="R31" i="93"/>
  <c r="R53" i="93"/>
  <c r="R44" i="93"/>
  <c r="R63" i="93"/>
  <c r="R19" i="93"/>
  <c r="R57" i="93"/>
  <c r="R17" i="93"/>
  <c r="R60" i="93"/>
  <c r="R7" i="93"/>
  <c r="S63" i="93"/>
  <c r="T63" i="93"/>
  <c r="T54" i="93"/>
  <c r="S54" i="93"/>
  <c r="S38" i="93"/>
  <c r="T38" i="93"/>
  <c r="S57" i="93"/>
  <c r="T57" i="93"/>
  <c r="T44" i="93"/>
  <c r="S44" i="93"/>
  <c r="S64" i="93"/>
  <c r="T64" i="93"/>
  <c r="T32" i="93"/>
  <c r="S32" i="93"/>
  <c r="S10" i="93"/>
  <c r="T10" i="93"/>
  <c r="S29" i="93"/>
  <c r="T29" i="93"/>
  <c r="T12" i="93"/>
  <c r="S12" i="93"/>
  <c r="T26" i="93"/>
  <c r="S26" i="93"/>
  <c r="S50" i="93"/>
  <c r="T50" i="93"/>
  <c r="T42" i="93"/>
  <c r="S42" i="93"/>
  <c r="S20" i="93"/>
  <c r="T20" i="93"/>
  <c r="S49" i="93"/>
  <c r="T49" i="93"/>
  <c r="T22" i="93"/>
  <c r="S22" i="93"/>
  <c r="T17" i="93"/>
  <c r="S17" i="93"/>
  <c r="S56" i="93"/>
  <c r="T56" i="93"/>
  <c r="T58" i="93"/>
  <c r="S58" i="93"/>
  <c r="T40" i="93"/>
  <c r="S40" i="93"/>
  <c r="T33" i="93"/>
  <c r="S33" i="93"/>
  <c r="T18" i="93"/>
  <c r="S18" i="93"/>
  <c r="T48" i="93"/>
  <c r="S48" i="93"/>
  <c r="S43" i="93"/>
  <c r="T43" i="93"/>
  <c r="S9" i="93"/>
  <c r="T9" i="93"/>
  <c r="S16" i="93"/>
  <c r="T16" i="93"/>
  <c r="S51" i="93"/>
  <c r="T51" i="93"/>
  <c r="H3" i="141"/>
  <c r="M3" i="141"/>
  <c r="N3" i="141"/>
  <c r="T46" i="93"/>
  <c r="S46" i="93"/>
  <c r="S21" i="93"/>
  <c r="T21" i="93"/>
  <c r="T25" i="93"/>
  <c r="S25" i="93"/>
  <c r="S35" i="93"/>
  <c r="T35" i="93"/>
  <c r="S11" i="93"/>
  <c r="T11" i="93"/>
  <c r="T30" i="93"/>
  <c r="S30" i="93"/>
  <c r="R65" i="93"/>
  <c r="T7" i="93"/>
  <c r="S7" i="93"/>
  <c r="S41" i="93"/>
  <c r="T41" i="93"/>
  <c r="S53" i="93"/>
  <c r="T53" i="93"/>
  <c r="T61" i="93"/>
  <c r="S61" i="93"/>
  <c r="T13" i="93"/>
  <c r="S13" i="93"/>
  <c r="S15" i="93"/>
  <c r="T15" i="93"/>
  <c r="S34" i="93"/>
  <c r="T34" i="93"/>
  <c r="T60" i="93"/>
  <c r="S60" i="93"/>
  <c r="T19" i="93"/>
  <c r="S19" i="93"/>
  <c r="T31" i="93"/>
  <c r="S31" i="93"/>
  <c r="S28" i="93"/>
  <c r="T28" i="93"/>
  <c r="T62" i="93"/>
  <c r="S62" i="93"/>
  <c r="S59" i="93"/>
  <c r="T59" i="93"/>
  <c r="S55" i="93"/>
  <c r="T55" i="93"/>
  <c r="T23" i="93"/>
  <c r="S23" i="93"/>
  <c r="S27" i="93"/>
  <c r="T27" i="93"/>
  <c r="S45" i="93"/>
  <c r="T45" i="93"/>
  <c r="T24" i="93"/>
  <c r="S24" i="93"/>
  <c r="T47" i="93"/>
  <c r="S47" i="93"/>
  <c r="S37" i="93"/>
  <c r="T37" i="93"/>
  <c r="S39" i="93"/>
  <c r="T39" i="93"/>
  <c r="K3" i="141"/>
  <c r="J3" i="141"/>
  <c r="H61" i="141"/>
  <c r="S65" i="93"/>
  <c r="T65" i="93"/>
  <c r="K4" i="141"/>
  <c r="K10" i="141"/>
  <c r="K20" i="141"/>
  <c r="K23" i="141"/>
  <c r="K5" i="141"/>
  <c r="K41" i="141"/>
  <c r="K60" i="141"/>
  <c r="K18" i="141"/>
  <c r="K11" i="141"/>
  <c r="K19" i="141"/>
  <c r="K45" i="141"/>
  <c r="K30" i="141"/>
  <c r="K32" i="141"/>
  <c r="K29" i="141"/>
  <c r="K25" i="141"/>
  <c r="K50" i="141"/>
  <c r="K39" i="141"/>
  <c r="K49" i="141"/>
  <c r="K38" i="141"/>
  <c r="K27" i="141"/>
  <c r="K8" i="141"/>
  <c r="K31" i="141"/>
  <c r="K7" i="141"/>
  <c r="K47" i="141"/>
  <c r="K59" i="141"/>
  <c r="K57" i="141"/>
  <c r="K54" i="141"/>
  <c r="K55" i="141"/>
  <c r="K46" i="141"/>
  <c r="K40" i="141"/>
  <c r="K36" i="141"/>
  <c r="K43" i="141"/>
  <c r="K34" i="141"/>
  <c r="K26" i="141"/>
  <c r="K17" i="141"/>
  <c r="K24" i="141"/>
  <c r="K58" i="141"/>
  <c r="K52" i="141"/>
  <c r="K53" i="141"/>
  <c r="K9" i="141"/>
  <c r="K14" i="141"/>
  <c r="K28" i="141"/>
  <c r="K13" i="141"/>
  <c r="K35" i="141"/>
  <c r="K22" i="141"/>
  <c r="K44" i="141"/>
  <c r="K42" i="141"/>
  <c r="K6" i="141"/>
  <c r="K33" i="141"/>
  <c r="K56" i="141"/>
  <c r="K37" i="141"/>
  <c r="K48" i="141"/>
  <c r="K15" i="141"/>
  <c r="K16" i="141"/>
  <c r="K12" i="141"/>
  <c r="K21" i="141"/>
  <c r="K51" i="141"/>
  <c r="O40" i="93"/>
  <c r="O9" i="93"/>
  <c r="O13" i="93"/>
  <c r="O10" i="93"/>
  <c r="O55" i="93"/>
  <c r="O20" i="93"/>
  <c r="M14" i="93"/>
  <c r="P14" i="93"/>
  <c r="D61" i="141"/>
  <c r="O3" i="141"/>
  <c r="J36" i="93"/>
  <c r="N36" i="93"/>
  <c r="O36" i="93"/>
  <c r="M36" i="93"/>
  <c r="P36" i="93"/>
  <c r="K49" i="93"/>
  <c r="O49" i="93"/>
  <c r="J11" i="93"/>
  <c r="N11" i="93"/>
  <c r="O12" i="93"/>
  <c r="K11" i="93"/>
  <c r="O22" i="93"/>
  <c r="G20" i="146"/>
  <c r="T20" i="41" s="1"/>
  <c r="E65" i="146"/>
  <c r="G65" i="146" s="1"/>
  <c r="F10" i="143"/>
  <c r="Q10" i="41"/>
  <c r="D65" i="143"/>
  <c r="F46" i="143"/>
  <c r="Q46" i="41" s="1"/>
  <c r="C65" i="146"/>
  <c r="G38" i="143"/>
  <c r="R38" i="41" s="1"/>
  <c r="E65" i="143"/>
  <c r="F32" i="146"/>
  <c r="S32" i="41"/>
  <c r="D65" i="146"/>
  <c r="E61" i="141"/>
  <c r="K43" i="93"/>
  <c r="O43" i="93"/>
  <c r="D65" i="145"/>
  <c r="G37" i="143"/>
  <c r="R37" i="41" s="1"/>
  <c r="F30" i="143"/>
  <c r="Q30" i="41"/>
  <c r="F27" i="146"/>
  <c r="S27" i="41" s="1"/>
  <c r="F14" i="143"/>
  <c r="Q14" i="41" s="1"/>
  <c r="F11" i="146"/>
  <c r="S11" i="41" s="1"/>
  <c r="Q36" i="93"/>
  <c r="R36" i="93"/>
  <c r="S36" i="93"/>
  <c r="T36" i="93"/>
  <c r="Q14" i="93"/>
  <c r="R14" i="93"/>
  <c r="T14" i="93"/>
  <c r="S14" i="93"/>
  <c r="O11" i="93"/>
  <c r="P3" i="141"/>
  <c r="O61" i="141"/>
  <c r="P61" i="141"/>
  <c r="C21" i="72" l="1"/>
  <c r="F62" i="41"/>
  <c r="Y62" i="41" s="1"/>
  <c r="F54" i="41"/>
  <c r="E53" i="72" s="1"/>
  <c r="F53" i="72" s="1"/>
  <c r="K53" i="72" s="1"/>
  <c r="F12" i="41"/>
  <c r="Y12" i="41" s="1"/>
  <c r="F58" i="41"/>
  <c r="F13" i="80"/>
  <c r="F29" i="41"/>
  <c r="Y29" i="41" s="1"/>
  <c r="F13" i="41"/>
  <c r="Y13" i="41" s="1"/>
  <c r="F53" i="80"/>
  <c r="F32" i="80"/>
  <c r="F63" i="80"/>
  <c r="F48" i="80"/>
  <c r="F11" i="41"/>
  <c r="E10" i="72" s="1"/>
  <c r="F10" i="72" s="1"/>
  <c r="F36" i="80"/>
  <c r="F17" i="41"/>
  <c r="Y17" i="41" s="1"/>
  <c r="F35" i="80"/>
  <c r="F15" i="80"/>
  <c r="F41" i="41"/>
  <c r="E40" i="72" s="1"/>
  <c r="F40" i="72" s="1"/>
  <c r="N45" i="41"/>
  <c r="F21" i="80"/>
  <c r="F12" i="80"/>
  <c r="F37" i="41"/>
  <c r="F59" i="80"/>
  <c r="F49" i="80"/>
  <c r="F50" i="41"/>
  <c r="E49" i="72" s="1"/>
  <c r="F49" i="72" s="1"/>
  <c r="K49" i="72" s="1"/>
  <c r="F55" i="80"/>
  <c r="F24" i="41"/>
  <c r="E23" i="72" s="1"/>
  <c r="F23" i="72" s="1"/>
  <c r="F8" i="41"/>
  <c r="Y8" i="41" s="1"/>
  <c r="F54" i="80"/>
  <c r="F45" i="80"/>
  <c r="F48" i="41"/>
  <c r="E47" i="72" s="1"/>
  <c r="F47" i="72" s="1"/>
  <c r="K47" i="72" s="1"/>
  <c r="F40" i="41"/>
  <c r="Y40" i="41" s="1"/>
  <c r="F39" i="41"/>
  <c r="Y39" i="41" s="1"/>
  <c r="F24" i="80"/>
  <c r="F55" i="41"/>
  <c r="E54" i="72" s="1"/>
  <c r="F54" i="72" s="1"/>
  <c r="K54" i="72" s="1"/>
  <c r="F23" i="80"/>
  <c r="F20" i="41"/>
  <c r="Y20" i="41" s="1"/>
  <c r="F40" i="80"/>
  <c r="F39" i="80"/>
  <c r="F27" i="41"/>
  <c r="Y27" i="41" s="1"/>
  <c r="F57" i="80"/>
  <c r="F47" i="80"/>
  <c r="F38" i="80"/>
  <c r="F29" i="80"/>
  <c r="F51" i="41"/>
  <c r="AA65" i="41"/>
  <c r="E63" i="148"/>
  <c r="F38" i="41"/>
  <c r="Y38" i="41" s="1"/>
  <c r="F27" i="80"/>
  <c r="F60" i="41"/>
  <c r="E59" i="72" s="1"/>
  <c r="F59" i="72" s="1"/>
  <c r="K59" i="72" s="1"/>
  <c r="F8" i="80"/>
  <c r="C58" i="72"/>
  <c r="F60" i="80"/>
  <c r="F25" i="80"/>
  <c r="F16" i="80"/>
  <c r="N48" i="41"/>
  <c r="C24" i="72"/>
  <c r="F58" i="80"/>
  <c r="C23" i="72"/>
  <c r="L41" i="41"/>
  <c r="K60" i="41"/>
  <c r="L60" i="41" s="1"/>
  <c r="K40" i="41"/>
  <c r="L40" i="41" s="1"/>
  <c r="K24" i="41"/>
  <c r="L24" i="41" s="1"/>
  <c r="L16" i="41"/>
  <c r="K14" i="41"/>
  <c r="K23" i="41"/>
  <c r="L23" i="41" s="1"/>
  <c r="K59" i="41"/>
  <c r="L59" i="41" s="1"/>
  <c r="K13" i="41"/>
  <c r="L13" i="41" s="1"/>
  <c r="K39" i="41"/>
  <c r="K52" i="41"/>
  <c r="K12" i="41"/>
  <c r="L12" i="41" s="1"/>
  <c r="K51" i="41"/>
  <c r="L51" i="41" s="1"/>
  <c r="K37" i="41"/>
  <c r="K11" i="41"/>
  <c r="L11" i="41" s="1"/>
  <c r="K50" i="41"/>
  <c r="L50" i="41" s="1"/>
  <c r="K36" i="41"/>
  <c r="L36" i="41" s="1"/>
  <c r="K57" i="41"/>
  <c r="L57" i="41" s="1"/>
  <c r="K25" i="41"/>
  <c r="L25" i="41" s="1"/>
  <c r="K58" i="41"/>
  <c r="L58" i="41" s="1"/>
  <c r="K10" i="41"/>
  <c r="K9" i="41"/>
  <c r="L9" i="41" s="1"/>
  <c r="K49" i="41"/>
  <c r="K35" i="41"/>
  <c r="L35" i="41" s="1"/>
  <c r="K48" i="41"/>
  <c r="K56" i="41"/>
  <c r="L56" i="41" s="1"/>
  <c r="K34" i="41"/>
  <c r="L34" i="41" s="1"/>
  <c r="K22" i="41"/>
  <c r="L22" i="41" s="1"/>
  <c r="K20" i="41"/>
  <c r="L20" i="41" s="1"/>
  <c r="K31" i="41"/>
  <c r="K53" i="41"/>
  <c r="L53" i="41" s="1"/>
  <c r="K44" i="41"/>
  <c r="L44" i="41" s="1"/>
  <c r="K30" i="41"/>
  <c r="L30" i="41" s="1"/>
  <c r="K46" i="41"/>
  <c r="K7" i="41"/>
  <c r="K45" i="41"/>
  <c r="K32" i="41"/>
  <c r="K54" i="41"/>
  <c r="L54" i="41" s="1"/>
  <c r="K19" i="41"/>
  <c r="L19" i="41" s="1"/>
  <c r="K29" i="41"/>
  <c r="L29" i="41" s="1"/>
  <c r="K64" i="41"/>
  <c r="L64" i="41" s="1"/>
  <c r="L61" i="41"/>
  <c r="K21" i="41"/>
  <c r="L21" i="41" s="1"/>
  <c r="K28" i="41"/>
  <c r="L28" i="41" s="1"/>
  <c r="K18" i="41"/>
  <c r="K43" i="41"/>
  <c r="L43" i="41" s="1"/>
  <c r="K17" i="41"/>
  <c r="L17" i="41" s="1"/>
  <c r="K27" i="41"/>
  <c r="L27" i="41" s="1"/>
  <c r="K62" i="41"/>
  <c r="K15" i="41"/>
  <c r="L15" i="41" s="1"/>
  <c r="K38" i="41"/>
  <c r="L38" i="41" s="1"/>
  <c r="K47" i="41"/>
  <c r="L47" i="41" s="1"/>
  <c r="K33" i="41"/>
  <c r="L33" i="41" s="1"/>
  <c r="K55" i="41"/>
  <c r="L55" i="41" s="1"/>
  <c r="K8" i="41"/>
  <c r="K63" i="41"/>
  <c r="L63" i="41" s="1"/>
  <c r="K26" i="41"/>
  <c r="F65" i="146"/>
  <c r="F51" i="80"/>
  <c r="F42" i="80"/>
  <c r="F34" i="80"/>
  <c r="F17" i="80"/>
  <c r="F9" i="80"/>
  <c r="F50" i="80"/>
  <c r="F41" i="80"/>
  <c r="F33" i="80"/>
  <c r="F56" i="80"/>
  <c r="F30" i="80"/>
  <c r="F22" i="80"/>
  <c r="F14" i="80"/>
  <c r="F37" i="80"/>
  <c r="F62" i="80"/>
  <c r="G65" i="143"/>
  <c r="F61" i="80"/>
  <c r="F44" i="80"/>
  <c r="F19" i="80"/>
  <c r="F11" i="80"/>
  <c r="C64" i="80"/>
  <c r="F52" i="80"/>
  <c r="F43" i="80"/>
  <c r="F18" i="80"/>
  <c r="F10" i="80"/>
  <c r="F26" i="80"/>
  <c r="F6" i="80"/>
  <c r="D64" i="80"/>
  <c r="F65" i="143"/>
  <c r="F26" i="41"/>
  <c r="C10" i="72"/>
  <c r="F18" i="41"/>
  <c r="F49" i="41"/>
  <c r="Y49" i="41" s="1"/>
  <c r="N42" i="41"/>
  <c r="L42" i="41" s="1"/>
  <c r="N14" i="41"/>
  <c r="F53" i="41"/>
  <c r="E52" i="72" s="1"/>
  <c r="F52" i="72" s="1"/>
  <c r="C29" i="72"/>
  <c r="F16" i="41"/>
  <c r="Y16" i="41" s="1"/>
  <c r="N49" i="41"/>
  <c r="C63" i="72"/>
  <c r="N31" i="41"/>
  <c r="N10" i="41"/>
  <c r="C50" i="72"/>
  <c r="C28" i="72"/>
  <c r="N26" i="41"/>
  <c r="C35" i="72"/>
  <c r="N39" i="41"/>
  <c r="F64" i="41"/>
  <c r="E63" i="72" s="1"/>
  <c r="F63" i="72" s="1"/>
  <c r="K63" i="72" s="1"/>
  <c r="F57" i="41"/>
  <c r="E56" i="72" s="1"/>
  <c r="F56" i="72" s="1"/>
  <c r="K56" i="72" s="1"/>
  <c r="F35" i="41"/>
  <c r="E12" i="72"/>
  <c r="F12" i="72" s="1"/>
  <c r="K12" i="72" s="1"/>
  <c r="Y18" i="41"/>
  <c r="E17" i="72"/>
  <c r="F17" i="72" s="1"/>
  <c r="K17" i="72" s="1"/>
  <c r="F46" i="41"/>
  <c r="Y46" i="41" s="1"/>
  <c r="F33" i="41"/>
  <c r="E32" i="72" s="1"/>
  <c r="F32" i="72" s="1"/>
  <c r="K32" i="72" s="1"/>
  <c r="F25" i="41"/>
  <c r="Y25" i="41" s="1"/>
  <c r="F32" i="41"/>
  <c r="Y32" i="41" s="1"/>
  <c r="F45" i="41"/>
  <c r="Y45" i="41" s="1"/>
  <c r="N62" i="41"/>
  <c r="F44" i="41"/>
  <c r="F23" i="41"/>
  <c r="Y23" i="41" s="1"/>
  <c r="F22" i="41"/>
  <c r="Y22" i="41" s="1"/>
  <c r="N46" i="41"/>
  <c r="F63" i="41"/>
  <c r="F36" i="41"/>
  <c r="Y36" i="41" s="1"/>
  <c r="F15" i="41"/>
  <c r="E14" i="72" s="1"/>
  <c r="F14" i="72" s="1"/>
  <c r="K14" i="72" s="1"/>
  <c r="F56" i="41"/>
  <c r="Y56" i="41" s="1"/>
  <c r="F42" i="41"/>
  <c r="F21" i="41"/>
  <c r="E20" i="72" s="1"/>
  <c r="F20" i="72" s="1"/>
  <c r="K20" i="72" s="1"/>
  <c r="F28" i="41"/>
  <c r="Y28" i="41" s="1"/>
  <c r="F14" i="41"/>
  <c r="Y14" i="41" s="1"/>
  <c r="C53" i="72"/>
  <c r="F34" i="41"/>
  <c r="Y34" i="41" s="1"/>
  <c r="N37" i="41"/>
  <c r="N32" i="41"/>
  <c r="C49" i="72"/>
  <c r="N52" i="41"/>
  <c r="C11" i="72"/>
  <c r="F61" i="41"/>
  <c r="F30" i="41"/>
  <c r="C16" i="72"/>
  <c r="E11" i="72"/>
  <c r="F11" i="72" s="1"/>
  <c r="C15" i="72"/>
  <c r="C26" i="72"/>
  <c r="E65" i="41"/>
  <c r="N7" i="41"/>
  <c r="E50" i="72"/>
  <c r="F50" i="72" s="1"/>
  <c r="K50" i="72" s="1"/>
  <c r="F9" i="41"/>
  <c r="F7" i="41"/>
  <c r="E27" i="72"/>
  <c r="F27" i="72" s="1"/>
  <c r="D65" i="41"/>
  <c r="E61" i="72"/>
  <c r="F61" i="72" s="1"/>
  <c r="K61" i="72" s="1"/>
  <c r="E30" i="72"/>
  <c r="F30" i="72" s="1"/>
  <c r="E36" i="72"/>
  <c r="F36" i="72" s="1"/>
  <c r="K36" i="72" s="1"/>
  <c r="Y37" i="41"/>
  <c r="E58" i="72"/>
  <c r="F58" i="72" s="1"/>
  <c r="Y58" i="41"/>
  <c r="E57" i="72"/>
  <c r="F57" i="72" s="1"/>
  <c r="K57" i="72" s="1"/>
  <c r="Y19" i="41"/>
  <c r="E18" i="72"/>
  <c r="F18" i="72" s="1"/>
  <c r="K18" i="72" s="1"/>
  <c r="E46" i="72"/>
  <c r="F46" i="72" s="1"/>
  <c r="K46" i="72" s="1"/>
  <c r="E42" i="72"/>
  <c r="F42" i="72" s="1"/>
  <c r="K42" i="72" s="1"/>
  <c r="E9" i="72"/>
  <c r="F9" i="72" s="1"/>
  <c r="K9" i="72" s="1"/>
  <c r="Y10" i="41"/>
  <c r="E51" i="72"/>
  <c r="F51" i="72" s="1"/>
  <c r="Y52" i="41"/>
  <c r="Y43" i="41"/>
  <c r="Y51" i="41"/>
  <c r="Y59" i="41"/>
  <c r="Y31" i="41"/>
  <c r="Y54" i="41"/>
  <c r="N8" i="41"/>
  <c r="C46" i="72"/>
  <c r="N18" i="41"/>
  <c r="C37" i="72"/>
  <c r="E16" i="72" l="1"/>
  <c r="F16" i="72" s="1"/>
  <c r="Y11" i="41"/>
  <c r="E39" i="72"/>
  <c r="F39" i="72" s="1"/>
  <c r="K39" i="72" s="1"/>
  <c r="E26" i="72"/>
  <c r="F26" i="72" s="1"/>
  <c r="K26" i="72" s="1"/>
  <c r="Y41" i="41"/>
  <c r="E19" i="72"/>
  <c r="F19" i="72" s="1"/>
  <c r="Y24" i="41"/>
  <c r="E28" i="72"/>
  <c r="F28" i="72" s="1"/>
  <c r="K28" i="72" s="1"/>
  <c r="F66" i="80"/>
  <c r="H59" i="41" s="1"/>
  <c r="E7" i="72"/>
  <c r="F7" i="72" s="1"/>
  <c r="Y55" i="41"/>
  <c r="Y50" i="41"/>
  <c r="L45" i="41"/>
  <c r="E38" i="72"/>
  <c r="F38" i="72" s="1"/>
  <c r="K38" i="72" s="1"/>
  <c r="Y53" i="41"/>
  <c r="E33" i="72"/>
  <c r="F33" i="72" s="1"/>
  <c r="K33" i="72" s="1"/>
  <c r="E37" i="72"/>
  <c r="F37" i="72" s="1"/>
  <c r="E35" i="72"/>
  <c r="F35" i="72" s="1"/>
  <c r="K35" i="72" s="1"/>
  <c r="Y48" i="41"/>
  <c r="E48" i="72"/>
  <c r="F48" i="72" s="1"/>
  <c r="K48" i="72" s="1"/>
  <c r="E45" i="72"/>
  <c r="F45" i="72" s="1"/>
  <c r="K45" i="72" s="1"/>
  <c r="Y21" i="41"/>
  <c r="E24" i="72"/>
  <c r="F24" i="72" s="1"/>
  <c r="K24" i="72" s="1"/>
  <c r="E44" i="72"/>
  <c r="F44" i="72" s="1"/>
  <c r="K44" i="72" s="1"/>
  <c r="Y60" i="41"/>
  <c r="Y33" i="41"/>
  <c r="L48" i="41"/>
  <c r="L37" i="41"/>
  <c r="L14" i="41"/>
  <c r="L7" i="41"/>
  <c r="L31" i="41"/>
  <c r="L49" i="41"/>
  <c r="L10" i="41"/>
  <c r="L52" i="41"/>
  <c r="L46" i="41"/>
  <c r="L62" i="41"/>
  <c r="L32" i="41"/>
  <c r="L8" i="41"/>
  <c r="L26" i="41"/>
  <c r="L18" i="41"/>
  <c r="L39" i="41"/>
  <c r="F64" i="80"/>
  <c r="E34" i="72"/>
  <c r="F34" i="72" s="1"/>
  <c r="K34" i="72" s="1"/>
  <c r="Y61" i="41"/>
  <c r="E31" i="72"/>
  <c r="F31" i="72" s="1"/>
  <c r="Y57" i="41"/>
  <c r="E6" i="72"/>
  <c r="F6" i="72" s="1"/>
  <c r="K6" i="72" s="1"/>
  <c r="E25" i="72"/>
  <c r="F25" i="72" s="1"/>
  <c r="K25" i="72" s="1"/>
  <c r="Y35" i="41"/>
  <c r="Y63" i="41"/>
  <c r="Y15" i="41"/>
  <c r="E15" i="72"/>
  <c r="F15" i="72" s="1"/>
  <c r="K15" i="72" s="1"/>
  <c r="E62" i="72"/>
  <c r="F62" i="72" s="1"/>
  <c r="K62" i="72" s="1"/>
  <c r="Y26" i="41"/>
  <c r="E21" i="72"/>
  <c r="F21" i="72" s="1"/>
  <c r="K21" i="72" s="1"/>
  <c r="E60" i="72"/>
  <c r="F60" i="72" s="1"/>
  <c r="Y64" i="41"/>
  <c r="Y7" i="41"/>
  <c r="E22" i="72"/>
  <c r="F22" i="72" s="1"/>
  <c r="K22" i="72" s="1"/>
  <c r="E43" i="72"/>
  <c r="F43" i="72" s="1"/>
  <c r="K43" i="72" s="1"/>
  <c r="Y30" i="41"/>
  <c r="E13" i="72"/>
  <c r="F13" i="72" s="1"/>
  <c r="E55" i="72"/>
  <c r="F55" i="72" s="1"/>
  <c r="K55" i="72" s="1"/>
  <c r="Y44" i="41"/>
  <c r="F65" i="41"/>
  <c r="E41" i="72"/>
  <c r="F41" i="72" s="1"/>
  <c r="K41" i="72" s="1"/>
  <c r="Y42" i="41"/>
  <c r="E8" i="72"/>
  <c r="F8" i="72" s="1"/>
  <c r="Y9" i="41"/>
  <c r="E29" i="72"/>
  <c r="F29" i="72" s="1"/>
  <c r="K29" i="72" s="1"/>
  <c r="G15" i="72" l="1"/>
  <c r="H30" i="41"/>
  <c r="D27" i="72"/>
  <c r="I28" i="41" s="1"/>
  <c r="D24" i="72"/>
  <c r="I25" i="41" s="1"/>
  <c r="G21" i="72"/>
  <c r="H29" i="41"/>
  <c r="H26" i="41"/>
  <c r="H38" i="41"/>
  <c r="D29" i="72"/>
  <c r="I30" i="41" s="1"/>
  <c r="D7" i="72"/>
  <c r="I8" i="41" s="1"/>
  <c r="H63" i="41"/>
  <c r="D8" i="72"/>
  <c r="I9" i="41" s="1"/>
  <c r="H24" i="41"/>
  <c r="H40" i="41"/>
  <c r="H16" i="41"/>
  <c r="H39" i="41"/>
  <c r="D21" i="72"/>
  <c r="I22" i="41" s="1"/>
  <c r="H25" i="41"/>
  <c r="D20" i="72"/>
  <c r="I21" i="41" s="1"/>
  <c r="D54" i="72"/>
  <c r="I55" i="41" s="1"/>
  <c r="H54" i="41"/>
  <c r="H55" i="41"/>
  <c r="D57" i="72"/>
  <c r="I58" i="41" s="1"/>
  <c r="D61" i="72"/>
  <c r="I62" i="41" s="1"/>
  <c r="H11" i="41"/>
  <c r="H58" i="41"/>
  <c r="D30" i="72"/>
  <c r="I31" i="41" s="1"/>
  <c r="D16" i="72"/>
  <c r="K16" i="72" s="1"/>
  <c r="D40" i="72"/>
  <c r="I41" i="41" s="1"/>
  <c r="D56" i="72"/>
  <c r="I57" i="41" s="1"/>
  <c r="H43" i="41"/>
  <c r="D50" i="72"/>
  <c r="I51" i="41" s="1"/>
  <c r="D9" i="72"/>
  <c r="I10" i="41" s="1"/>
  <c r="H36" i="41"/>
  <c r="H9" i="41"/>
  <c r="D62" i="72"/>
  <c r="I63" i="41" s="1"/>
  <c r="D53" i="72"/>
  <c r="I54" i="41" s="1"/>
  <c r="D14" i="72"/>
  <c r="I15" i="41" s="1"/>
  <c r="D43" i="72"/>
  <c r="I44" i="41" s="1"/>
  <c r="H33" i="41"/>
  <c r="H17" i="41"/>
  <c r="D11" i="72"/>
  <c r="I12" i="41" s="1"/>
  <c r="H27" i="41"/>
  <c r="H50" i="41"/>
  <c r="D58" i="72"/>
  <c r="I59" i="41" s="1"/>
  <c r="H42" i="41"/>
  <c r="H19" i="41"/>
  <c r="D38" i="72"/>
  <c r="I39" i="41" s="1"/>
  <c r="H7" i="41"/>
  <c r="D26" i="72"/>
  <c r="I27" i="41" s="1"/>
  <c r="H35" i="41"/>
  <c r="D41" i="72"/>
  <c r="I42" i="41" s="1"/>
  <c r="H53" i="41"/>
  <c r="H37" i="41"/>
  <c r="D10" i="72"/>
  <c r="K10" i="72" s="1"/>
  <c r="H64" i="41"/>
  <c r="H20" i="41"/>
  <c r="H45" i="41"/>
  <c r="D34" i="72"/>
  <c r="I35" i="41" s="1"/>
  <c r="D63" i="72"/>
  <c r="I64" i="41" s="1"/>
  <c r="D48" i="72"/>
  <c r="I49" i="41" s="1"/>
  <c r="D52" i="72"/>
  <c r="I53" i="41" s="1"/>
  <c r="D33" i="72"/>
  <c r="I34" i="41" s="1"/>
  <c r="D46" i="72"/>
  <c r="I47" i="41" s="1"/>
  <c r="D32" i="72"/>
  <c r="I33" i="41" s="1"/>
  <c r="D4" i="72"/>
  <c r="H49" i="41"/>
  <c r="H41" i="41"/>
  <c r="D49" i="72"/>
  <c r="I50" i="41" s="1"/>
  <c r="D6" i="72"/>
  <c r="I7" i="41" s="1"/>
  <c r="D47" i="72"/>
  <c r="I48" i="41" s="1"/>
  <c r="H31" i="41"/>
  <c r="D36" i="72"/>
  <c r="I37" i="41" s="1"/>
  <c r="H56" i="41"/>
  <c r="H61" i="41"/>
  <c r="D55" i="72"/>
  <c r="I56" i="41" s="1"/>
  <c r="H46" i="41"/>
  <c r="H60" i="41"/>
  <c r="H44" i="41"/>
  <c r="H28" i="41"/>
  <c r="H48" i="41"/>
  <c r="H21" i="41"/>
  <c r="H62" i="41"/>
  <c r="D45" i="72"/>
  <c r="I46" i="41" s="1"/>
  <c r="D22" i="72"/>
  <c r="I23" i="41" s="1"/>
  <c r="H18" i="41"/>
  <c r="D42" i="72"/>
  <c r="I43" i="41" s="1"/>
  <c r="D51" i="72"/>
  <c r="I52" i="41" s="1"/>
  <c r="D19" i="72"/>
  <c r="I20" i="41" s="1"/>
  <c r="H34" i="41"/>
  <c r="G6" i="72"/>
  <c r="H23" i="41"/>
  <c r="D18" i="72"/>
  <c r="I19" i="41" s="1"/>
  <c r="D37" i="72"/>
  <c r="I38" i="41" s="1"/>
  <c r="D31" i="72"/>
  <c r="I32" i="41" s="1"/>
  <c r="D17" i="72"/>
  <c r="I18" i="41" s="1"/>
  <c r="H22" i="41"/>
  <c r="H57" i="41"/>
  <c r="D59" i="72"/>
  <c r="I60" i="41" s="1"/>
  <c r="D35" i="72"/>
  <c r="I36" i="41" s="1"/>
  <c r="D12" i="72"/>
  <c r="I13" i="41" s="1"/>
  <c r="H8" i="41"/>
  <c r="L65" i="41"/>
  <c r="D25" i="72"/>
  <c r="I26" i="41" s="1"/>
  <c r="D28" i="72"/>
  <c r="I29" i="41" s="1"/>
  <c r="D13" i="72"/>
  <c r="I14" i="41" s="1"/>
  <c r="H32" i="41"/>
  <c r="H10" i="41"/>
  <c r="D44" i="72"/>
  <c r="I45" i="41" s="1"/>
  <c r="H51" i="41"/>
  <c r="D15" i="72"/>
  <c r="I16" i="41" s="1"/>
  <c r="H47" i="41"/>
  <c r="D60" i="72"/>
  <c r="I61" i="41" s="1"/>
  <c r="H52" i="41"/>
  <c r="H15" i="41"/>
  <c r="D23" i="72"/>
  <c r="I24" i="41" s="1"/>
  <c r="H13" i="41"/>
  <c r="H14" i="41"/>
  <c r="D39" i="72"/>
  <c r="I40" i="41" s="1"/>
  <c r="H12" i="41"/>
  <c r="Y65" i="41"/>
  <c r="G28" i="72"/>
  <c r="G44" i="72"/>
  <c r="G36" i="72"/>
  <c r="G38" i="72"/>
  <c r="G61" i="72"/>
  <c r="G9" i="72"/>
  <c r="G24" i="72"/>
  <c r="H24" i="72" s="1"/>
  <c r="U25" i="41" s="1"/>
  <c r="G48" i="72"/>
  <c r="G46" i="72"/>
  <c r="G53" i="72"/>
  <c r="G20" i="72"/>
  <c r="G25" i="72"/>
  <c r="H25" i="72" s="1"/>
  <c r="U26" i="41" s="1"/>
  <c r="G35" i="72"/>
  <c r="G32" i="72"/>
  <c r="G43" i="72"/>
  <c r="G63" i="72"/>
  <c r="G22" i="72"/>
  <c r="G47" i="72"/>
  <c r="G56" i="72"/>
  <c r="G34" i="72"/>
  <c r="G14" i="72"/>
  <c r="G41" i="72"/>
  <c r="G29" i="72"/>
  <c r="G57" i="72"/>
  <c r="G50" i="72"/>
  <c r="G39" i="72"/>
  <c r="G42" i="72"/>
  <c r="G18" i="72"/>
  <c r="G45" i="72"/>
  <c r="G26" i="72"/>
  <c r="G12" i="72"/>
  <c r="G49" i="72"/>
  <c r="G55" i="72"/>
  <c r="G17" i="72"/>
  <c r="G54" i="72"/>
  <c r="G33" i="72"/>
  <c r="G59" i="72"/>
  <c r="K11" i="72" l="1"/>
  <c r="K27" i="72"/>
  <c r="H9" i="72"/>
  <c r="U10" i="41" s="1"/>
  <c r="K7" i="72"/>
  <c r="K52" i="72"/>
  <c r="H20" i="72"/>
  <c r="V21" i="41" s="1"/>
  <c r="H26" i="72"/>
  <c r="V27" i="41" s="1"/>
  <c r="H53" i="72"/>
  <c r="U54" i="41" s="1"/>
  <c r="H50" i="72"/>
  <c r="U51" i="41" s="1"/>
  <c r="H56" i="72"/>
  <c r="V57" i="41" s="1"/>
  <c r="K8" i="72"/>
  <c r="H44" i="72"/>
  <c r="J45" i="41" s="1"/>
  <c r="O45" i="41" s="1"/>
  <c r="H47" i="72"/>
  <c r="U48" i="41" s="1"/>
  <c r="H6" i="72"/>
  <c r="J7" i="41" s="1"/>
  <c r="O7" i="41" s="1"/>
  <c r="H43" i="72"/>
  <c r="V44" i="41" s="1"/>
  <c r="H21" i="72"/>
  <c r="U22" i="41" s="1"/>
  <c r="H54" i="72"/>
  <c r="U55" i="41" s="1"/>
  <c r="I11" i="41"/>
  <c r="H32" i="72"/>
  <c r="J33" i="41" s="1"/>
  <c r="O33" i="41" s="1"/>
  <c r="H55" i="72"/>
  <c r="J56" i="41" s="1"/>
  <c r="O56" i="41" s="1"/>
  <c r="H48" i="72"/>
  <c r="J49" i="41" s="1"/>
  <c r="O49" i="41" s="1"/>
  <c r="H36" i="72"/>
  <c r="V37" i="41" s="1"/>
  <c r="I17" i="41"/>
  <c r="H45" i="72"/>
  <c r="U46" i="41" s="1"/>
  <c r="H61" i="72"/>
  <c r="V62" i="41" s="1"/>
  <c r="H38" i="72"/>
  <c r="U39" i="41" s="1"/>
  <c r="H29" i="72"/>
  <c r="V30" i="41" s="1"/>
  <c r="H41" i="72"/>
  <c r="U42" i="41" s="1"/>
  <c r="H14" i="72"/>
  <c r="V15" i="41" s="1"/>
  <c r="H34" i="72"/>
  <c r="U35" i="41" s="1"/>
  <c r="K30" i="72"/>
  <c r="H49" i="72"/>
  <c r="U50" i="41" s="1"/>
  <c r="H46" i="72"/>
  <c r="U47" i="41" s="1"/>
  <c r="H57" i="72"/>
  <c r="V58" i="41" s="1"/>
  <c r="K58" i="72"/>
  <c r="H22" i="72"/>
  <c r="V23" i="41" s="1"/>
  <c r="H33" i="72"/>
  <c r="U34" i="41" s="1"/>
  <c r="H63" i="72"/>
  <c r="J64" i="41" s="1"/>
  <c r="O64" i="41" s="1"/>
  <c r="K40" i="72"/>
  <c r="K51" i="72"/>
  <c r="H12" i="72"/>
  <c r="J13" i="41" s="1"/>
  <c r="O13" i="41" s="1"/>
  <c r="H18" i="72"/>
  <c r="V19" i="41" s="1"/>
  <c r="K19" i="72"/>
  <c r="H42" i="72"/>
  <c r="U43" i="41" s="1"/>
  <c r="K31" i="72"/>
  <c r="H15" i="72"/>
  <c r="U16" i="41" s="1"/>
  <c r="H28" i="72"/>
  <c r="U29" i="41" s="1"/>
  <c r="H59" i="72"/>
  <c r="U60" i="41" s="1"/>
  <c r="H17" i="72"/>
  <c r="V18" i="41" s="1"/>
  <c r="K37" i="72"/>
  <c r="H35" i="72"/>
  <c r="V36" i="41" s="1"/>
  <c r="K13" i="72"/>
  <c r="H39" i="72"/>
  <c r="V40" i="41" s="1"/>
  <c r="K23" i="72"/>
  <c r="K60" i="72"/>
  <c r="U45" i="41"/>
  <c r="U57" i="41"/>
  <c r="V39" i="41"/>
  <c r="G62" i="72"/>
  <c r="H62" i="72" s="1"/>
  <c r="U33" i="41"/>
  <c r="V26" i="41"/>
  <c r="W26" i="41" s="1"/>
  <c r="J26" i="41"/>
  <c r="O26" i="41" s="1"/>
  <c r="J25" i="41"/>
  <c r="O25" i="41" s="1"/>
  <c r="V25" i="41"/>
  <c r="W25" i="41" s="1"/>
  <c r="U21" i="41"/>
  <c r="W21" i="41" s="1"/>
  <c r="V60" i="41"/>
  <c r="J60" i="41"/>
  <c r="O60" i="41" s="1"/>
  <c r="J21" i="41" l="1"/>
  <c r="O21" i="41" s="1"/>
  <c r="U36" i="41"/>
  <c r="W36" i="41" s="1"/>
  <c r="J48" i="41"/>
  <c r="O48" i="41" s="1"/>
  <c r="V51" i="41"/>
  <c r="U27" i="41"/>
  <c r="W27" i="41" s="1"/>
  <c r="J54" i="41"/>
  <c r="O54" i="41" s="1"/>
  <c r="J27" i="41"/>
  <c r="O27" i="41" s="1"/>
  <c r="J10" i="41"/>
  <c r="O10" i="41" s="1"/>
  <c r="V54" i="41"/>
  <c r="W54" i="41" s="1"/>
  <c r="V10" i="41"/>
  <c r="W10" i="41" s="1"/>
  <c r="J57" i="41"/>
  <c r="O57" i="41" s="1"/>
  <c r="K64" i="72"/>
  <c r="H66" i="72" s="1"/>
  <c r="J37" i="41"/>
  <c r="O37" i="41" s="1"/>
  <c r="J47" i="41"/>
  <c r="O47" i="41" s="1"/>
  <c r="W57" i="41"/>
  <c r="W51" i="41"/>
  <c r="J22" i="41"/>
  <c r="O22" i="41" s="1"/>
  <c r="V48" i="41"/>
  <c r="W48" i="41" s="1"/>
  <c r="AB48" i="41" s="1"/>
  <c r="AD48" i="41" s="1"/>
  <c r="U62" i="41"/>
  <c r="W62" i="41" s="1"/>
  <c r="V55" i="41"/>
  <c r="W55" i="41" s="1"/>
  <c r="U37" i="41"/>
  <c r="W37" i="41" s="1"/>
  <c r="U49" i="41"/>
  <c r="J55" i="41"/>
  <c r="O55" i="41" s="1"/>
  <c r="V34" i="41"/>
  <c r="W34" i="41" s="1"/>
  <c r="J44" i="41"/>
  <c r="O44" i="41" s="1"/>
  <c r="V7" i="41"/>
  <c r="J51" i="41"/>
  <c r="O51" i="41" s="1"/>
  <c r="V56" i="41"/>
  <c r="V45" i="41"/>
  <c r="W45" i="41" s="1"/>
  <c r="AB45" i="41" s="1"/>
  <c r="D45" i="93" s="1"/>
  <c r="J46" i="41"/>
  <c r="O46" i="41" s="1"/>
  <c r="V43" i="41"/>
  <c r="W43" i="41" s="1"/>
  <c r="W39" i="41"/>
  <c r="U44" i="41"/>
  <c r="W44" i="41" s="1"/>
  <c r="V46" i="41"/>
  <c r="W46" i="41" s="1"/>
  <c r="U56" i="41"/>
  <c r="V49" i="41"/>
  <c r="V35" i="41"/>
  <c r="W35" i="41" s="1"/>
  <c r="J35" i="41"/>
  <c r="O35" i="41" s="1"/>
  <c r="V29" i="41"/>
  <c r="W29" i="41" s="1"/>
  <c r="U7" i="41"/>
  <c r="V50" i="41"/>
  <c r="W50" i="41" s="1"/>
  <c r="V33" i="41"/>
  <c r="W33" i="41" s="1"/>
  <c r="AB33" i="41" s="1"/>
  <c r="D33" i="93" s="1"/>
  <c r="V22" i="41"/>
  <c r="W22" i="41" s="1"/>
  <c r="J58" i="41"/>
  <c r="O58" i="41" s="1"/>
  <c r="U18" i="41"/>
  <c r="W18" i="41" s="1"/>
  <c r="J34" i="41"/>
  <c r="O34" i="41" s="1"/>
  <c r="J23" i="41"/>
  <c r="O23" i="41" s="1"/>
  <c r="V64" i="41"/>
  <c r="J30" i="41"/>
  <c r="O30" i="41" s="1"/>
  <c r="V42" i="41"/>
  <c r="W42" i="41" s="1"/>
  <c r="J15" i="41"/>
  <c r="O15" i="41" s="1"/>
  <c r="J39" i="41"/>
  <c r="O39" i="41" s="1"/>
  <c r="AB39" i="41" s="1"/>
  <c r="AD39" i="41" s="1"/>
  <c r="J43" i="41"/>
  <c r="O43" i="41" s="1"/>
  <c r="J62" i="41"/>
  <c r="O62" i="41" s="1"/>
  <c r="U19" i="41"/>
  <c r="W19" i="41" s="1"/>
  <c r="U30" i="41"/>
  <c r="W30" i="41" s="1"/>
  <c r="U64" i="41"/>
  <c r="J16" i="41"/>
  <c r="O16" i="41" s="1"/>
  <c r="V13" i="41"/>
  <c r="J19" i="41"/>
  <c r="O19" i="41" s="1"/>
  <c r="V16" i="41"/>
  <c r="W16" i="41" s="1"/>
  <c r="U15" i="41"/>
  <c r="W15" i="41" s="1"/>
  <c r="J29" i="41"/>
  <c r="O29" i="41" s="1"/>
  <c r="J42" i="41"/>
  <c r="O42" i="41" s="1"/>
  <c r="V47" i="41"/>
  <c r="W47" i="41" s="1"/>
  <c r="U23" i="41"/>
  <c r="W23" i="41" s="1"/>
  <c r="U58" i="41"/>
  <c r="W58" i="41" s="1"/>
  <c r="U13" i="41"/>
  <c r="J50" i="41"/>
  <c r="O50" i="41" s="1"/>
  <c r="J36" i="41"/>
  <c r="O36" i="41" s="1"/>
  <c r="AB36" i="41" s="1"/>
  <c r="D36" i="93" s="1"/>
  <c r="J18" i="41"/>
  <c r="O18" i="41" s="1"/>
  <c r="U40" i="41"/>
  <c r="W40" i="41" s="1"/>
  <c r="J40" i="41"/>
  <c r="O40" i="41" s="1"/>
  <c r="AB25" i="41"/>
  <c r="AD25" i="41" s="1"/>
  <c r="AB26" i="41"/>
  <c r="AD26" i="41" s="1"/>
  <c r="W60" i="41"/>
  <c r="AB60" i="41" s="1"/>
  <c r="D60" i="93" s="1"/>
  <c r="AB54" i="41"/>
  <c r="D54" i="93" s="1"/>
  <c r="AB57" i="41"/>
  <c r="AD57" i="41" s="1"/>
  <c r="AB21" i="41"/>
  <c r="D21" i="93" s="1"/>
  <c r="U63" i="41"/>
  <c r="V63" i="41"/>
  <c r="J63" i="41"/>
  <c r="O63" i="41" s="1"/>
  <c r="AB27" i="41" l="1"/>
  <c r="AD27" i="41" s="1"/>
  <c r="AB37" i="41"/>
  <c r="AD37" i="41" s="1"/>
  <c r="AB10" i="41"/>
  <c r="D10" i="93" s="1"/>
  <c r="AB51" i="41"/>
  <c r="D51" i="93" s="1"/>
  <c r="AB29" i="41"/>
  <c r="AB22" i="41"/>
  <c r="AD22" i="41" s="1"/>
  <c r="AB47" i="41"/>
  <c r="AD47" i="41" s="1"/>
  <c r="AB55" i="41"/>
  <c r="AD55" i="41" s="1"/>
  <c r="AB62" i="41"/>
  <c r="AD62" i="41" s="1"/>
  <c r="AB46" i="41"/>
  <c r="AD46" i="41" s="1"/>
  <c r="AB43" i="41"/>
  <c r="D43" i="93" s="1"/>
  <c r="AB44" i="41"/>
  <c r="AD44" i="41" s="1"/>
  <c r="W64" i="41"/>
  <c r="AB64" i="41" s="1"/>
  <c r="AD64" i="41" s="1"/>
  <c r="W49" i="41"/>
  <c r="AB49" i="41" s="1"/>
  <c r="AD49" i="41" s="1"/>
  <c r="W56" i="41"/>
  <c r="AB56" i="41" s="1"/>
  <c r="AD56" i="41" s="1"/>
  <c r="W7" i="41"/>
  <c r="AB7" i="41" s="1"/>
  <c r="AD7" i="41" s="1"/>
  <c r="AB34" i="41"/>
  <c r="D34" i="93" s="1"/>
  <c r="AB15" i="41"/>
  <c r="D15" i="93" s="1"/>
  <c r="AB35" i="41"/>
  <c r="AD35" i="41" s="1"/>
  <c r="D22" i="93"/>
  <c r="AB30" i="41"/>
  <c r="AD30" i="41" s="1"/>
  <c r="AB50" i="41"/>
  <c r="AD50" i="41" s="1"/>
  <c r="AB58" i="41"/>
  <c r="AD58" i="41" s="1"/>
  <c r="AB16" i="41"/>
  <c r="D16" i="93" s="1"/>
  <c r="AB19" i="41"/>
  <c r="AD19" i="41" s="1"/>
  <c r="AB40" i="41"/>
  <c r="D40" i="93" s="1"/>
  <c r="AB18" i="41"/>
  <c r="D18" i="93" s="1"/>
  <c r="W13" i="41"/>
  <c r="AB13" i="41" s="1"/>
  <c r="AD13" i="41" s="1"/>
  <c r="AB23" i="41"/>
  <c r="AD23" i="41" s="1"/>
  <c r="AB42" i="41"/>
  <c r="D42" i="93" s="1"/>
  <c r="D67" i="72"/>
  <c r="G60" i="72" s="1"/>
  <c r="H60" i="72" s="1"/>
  <c r="J61" i="41" s="1"/>
  <c r="O61" i="41" s="1"/>
  <c r="AD10" i="41"/>
  <c r="D37" i="93"/>
  <c r="AD45" i="41"/>
  <c r="AD51" i="41"/>
  <c r="D56" i="93"/>
  <c r="D25" i="93"/>
  <c r="D29" i="93"/>
  <c r="AD29" i="41"/>
  <c r="D39" i="93"/>
  <c r="D48" i="93"/>
  <c r="W63" i="41"/>
  <c r="AB63" i="41" s="1"/>
  <c r="AD33" i="41"/>
  <c r="D47" i="93"/>
  <c r="AD54" i="41"/>
  <c r="D26" i="93"/>
  <c r="D57" i="93"/>
  <c r="AD21" i="41"/>
  <c r="AD60" i="41"/>
  <c r="D27" i="93"/>
  <c r="AD36" i="41"/>
  <c r="D7" i="93" l="1"/>
  <c r="D64" i="93"/>
  <c r="AD34" i="41"/>
  <c r="AD15" i="41"/>
  <c r="D44" i="93"/>
  <c r="AD43" i="41"/>
  <c r="D46" i="93"/>
  <c r="D50" i="93"/>
  <c r="D35" i="93"/>
  <c r="D62" i="93"/>
  <c r="D55" i="93"/>
  <c r="D49" i="93"/>
  <c r="D30" i="93"/>
  <c r="D58" i="93"/>
  <c r="D19" i="93"/>
  <c r="D23" i="93"/>
  <c r="AD42" i="41"/>
  <c r="AD40" i="41"/>
  <c r="D13" i="93"/>
  <c r="AD18" i="41"/>
  <c r="AD16" i="41"/>
  <c r="G11" i="72"/>
  <c r="H11" i="72" s="1"/>
  <c r="U12" i="41" s="1"/>
  <c r="G31" i="72"/>
  <c r="H31" i="72" s="1"/>
  <c r="U32" i="41" s="1"/>
  <c r="G40" i="72"/>
  <c r="H40" i="72" s="1"/>
  <c r="G16" i="72"/>
  <c r="H16" i="72" s="1"/>
  <c r="V61" i="41"/>
  <c r="U61" i="41"/>
  <c r="G13" i="72"/>
  <c r="H13" i="72" s="1"/>
  <c r="G19" i="72"/>
  <c r="H19" i="72" s="1"/>
  <c r="G10" i="72"/>
  <c r="H10" i="72" s="1"/>
  <c r="G7" i="72"/>
  <c r="H7" i="72" s="1"/>
  <c r="G58" i="72"/>
  <c r="H58" i="72" s="1"/>
  <c r="G51" i="72"/>
  <c r="H51" i="72" s="1"/>
  <c r="G27" i="72"/>
  <c r="H27" i="72" s="1"/>
  <c r="G23" i="72"/>
  <c r="H23" i="72" s="1"/>
  <c r="G37" i="72"/>
  <c r="H37" i="72" s="1"/>
  <c r="G4" i="72"/>
  <c r="G8" i="72"/>
  <c r="H8" i="72" s="1"/>
  <c r="G30" i="72"/>
  <c r="H30" i="72" s="1"/>
  <c r="G52" i="72"/>
  <c r="H52" i="72" s="1"/>
  <c r="D63" i="93"/>
  <c r="AD63" i="41"/>
  <c r="W61" i="41" l="1"/>
  <c r="AB61" i="41" s="1"/>
  <c r="D61" i="93" s="1"/>
  <c r="V32" i="41"/>
  <c r="W32" i="41" s="1"/>
  <c r="J32" i="41"/>
  <c r="O32" i="41" s="1"/>
  <c r="J12" i="41"/>
  <c r="O12" i="41" s="1"/>
  <c r="V12" i="41"/>
  <c r="W12" i="41" s="1"/>
  <c r="J17" i="41"/>
  <c r="O17" i="41" s="1"/>
  <c r="V17" i="41"/>
  <c r="U17" i="41"/>
  <c r="U41" i="41"/>
  <c r="J41" i="41"/>
  <c r="O41" i="41" s="1"/>
  <c r="V41" i="41"/>
  <c r="V28" i="41"/>
  <c r="U28" i="41"/>
  <c r="J28" i="41"/>
  <c r="O28" i="41" s="1"/>
  <c r="J11" i="41"/>
  <c r="O11" i="41" s="1"/>
  <c r="V11" i="41"/>
  <c r="U11" i="41"/>
  <c r="J53" i="41"/>
  <c r="O53" i="41" s="1"/>
  <c r="U53" i="41"/>
  <c r="V53" i="41"/>
  <c r="U31" i="41"/>
  <c r="V31" i="41"/>
  <c r="J31" i="41"/>
  <c r="O31" i="41" s="1"/>
  <c r="J9" i="41"/>
  <c r="O9" i="41" s="1"/>
  <c r="U9" i="41"/>
  <c r="V9" i="41"/>
  <c r="U38" i="41"/>
  <c r="V38" i="41"/>
  <c r="J38" i="41"/>
  <c r="O38" i="41" s="1"/>
  <c r="U24" i="41"/>
  <c r="J24" i="41"/>
  <c r="O24" i="41" s="1"/>
  <c r="V24" i="41"/>
  <c r="U52" i="41"/>
  <c r="V52" i="41"/>
  <c r="J52" i="41"/>
  <c r="O52" i="41" s="1"/>
  <c r="U59" i="41"/>
  <c r="V59" i="41"/>
  <c r="J59" i="41"/>
  <c r="O59" i="41" s="1"/>
  <c r="J8" i="41"/>
  <c r="O8" i="41" s="1"/>
  <c r="U8" i="41"/>
  <c r="V8" i="41"/>
  <c r="V20" i="41"/>
  <c r="U20" i="41"/>
  <c r="J20" i="41"/>
  <c r="O20" i="41" s="1"/>
  <c r="V14" i="41"/>
  <c r="U14" i="41"/>
  <c r="J14" i="41"/>
  <c r="O14" i="41" s="1"/>
  <c r="AB32" i="41"/>
  <c r="AD32" i="41" s="1"/>
  <c r="AD61" i="41"/>
  <c r="W17" i="41" l="1"/>
  <c r="AB17" i="41" s="1"/>
  <c r="D17" i="93" s="1"/>
  <c r="AB12" i="41"/>
  <c r="W31" i="41"/>
  <c r="W20" i="41"/>
  <c r="W11" i="41"/>
  <c r="AB11" i="41" s="1"/>
  <c r="AD11" i="41" s="1"/>
  <c r="AB31" i="41"/>
  <c r="W14" i="41"/>
  <c r="AB14" i="41" s="1"/>
  <c r="W41" i="41"/>
  <c r="AB41" i="41" s="1"/>
  <c r="W28" i="41"/>
  <c r="AB28" i="41" s="1"/>
  <c r="V65" i="41"/>
  <c r="D11" i="93"/>
  <c r="O65" i="41"/>
  <c r="W38" i="41"/>
  <c r="AB38" i="41" s="1"/>
  <c r="D32" i="93"/>
  <c r="W9" i="41"/>
  <c r="AB9" i="41" s="1"/>
  <c r="AB20" i="41"/>
  <c r="D31" i="93"/>
  <c r="AD31" i="41"/>
  <c r="W8" i="41"/>
  <c r="U65" i="41"/>
  <c r="W53" i="41"/>
  <c r="AB53" i="41" s="1"/>
  <c r="W59" i="41"/>
  <c r="AB59" i="41" s="1"/>
  <c r="W52" i="41"/>
  <c r="AB52" i="41" s="1"/>
  <c r="W24" i="41"/>
  <c r="AB24" i="41" s="1"/>
  <c r="AD17" i="41" l="1"/>
  <c r="AD12" i="41"/>
  <c r="D12" i="93"/>
  <c r="D41" i="93"/>
  <c r="AD41" i="41"/>
  <c r="D24" i="93"/>
  <c r="AD24" i="41"/>
  <c r="AD28" i="41"/>
  <c r="D28" i="93"/>
  <c r="AD52" i="41"/>
  <c r="D52" i="93"/>
  <c r="D59" i="93"/>
  <c r="AD59" i="41"/>
  <c r="D53" i="93"/>
  <c r="AD53" i="41"/>
  <c r="W65" i="41"/>
  <c r="AD20" i="41"/>
  <c r="D20" i="93"/>
  <c r="D9" i="93"/>
  <c r="AD9" i="41"/>
  <c r="AD14" i="41"/>
  <c r="D14" i="93"/>
  <c r="D38" i="93"/>
  <c r="AD38" i="41"/>
  <c r="AB8" i="41"/>
  <c r="AD8" i="41" l="1"/>
  <c r="AB65" i="41"/>
  <c r="AC8" i="41" s="1"/>
  <c r="D8" i="93"/>
  <c r="D65" i="93" s="1"/>
  <c r="E42" i="93" s="1"/>
  <c r="E8" i="93" l="1"/>
  <c r="E59" i="93"/>
  <c r="E49" i="93"/>
  <c r="E34" i="93"/>
  <c r="E58" i="93"/>
  <c r="E56" i="93"/>
  <c r="E15" i="93"/>
  <c r="E13" i="93"/>
  <c r="E21" i="93"/>
  <c r="E47" i="93"/>
  <c r="E31" i="93"/>
  <c r="E23" i="93"/>
  <c r="E36" i="93"/>
  <c r="E17" i="93"/>
  <c r="E50" i="93"/>
  <c r="E10" i="93"/>
  <c r="AC30" i="41"/>
  <c r="AC36" i="41"/>
  <c r="AC41" i="41"/>
  <c r="AC33" i="41"/>
  <c r="AC39" i="41"/>
  <c r="AC11" i="41"/>
  <c r="AC26" i="41"/>
  <c r="AC55" i="41"/>
  <c r="AC52" i="41"/>
  <c r="AC48" i="41"/>
  <c r="AC56" i="41"/>
  <c r="AC61" i="41"/>
  <c r="AC15" i="41"/>
  <c r="AC7" i="41"/>
  <c r="AC53" i="41"/>
  <c r="AC29" i="41"/>
  <c r="AC64" i="41"/>
  <c r="AC32" i="41"/>
  <c r="AC57" i="41"/>
  <c r="AC23" i="41"/>
  <c r="AC17" i="41"/>
  <c r="AC22" i="41"/>
  <c r="AC62" i="41"/>
  <c r="AC28" i="41"/>
  <c r="AC50" i="41"/>
  <c r="AC60" i="41"/>
  <c r="AC12" i="41"/>
  <c r="AC45" i="41"/>
  <c r="AC43" i="41"/>
  <c r="AC59" i="41"/>
  <c r="AC20" i="41"/>
  <c r="AC25" i="41"/>
  <c r="AC24" i="41"/>
  <c r="AC54" i="41"/>
  <c r="AC14" i="41"/>
  <c r="AC40" i="41"/>
  <c r="AC16" i="41"/>
  <c r="AC63" i="41"/>
  <c r="AC58" i="41"/>
  <c r="AC34" i="41"/>
  <c r="AC42" i="41"/>
  <c r="AC37" i="41"/>
  <c r="AC27" i="41"/>
  <c r="AC31" i="41"/>
  <c r="AC46" i="41"/>
  <c r="AC44" i="41"/>
  <c r="AC10" i="41"/>
  <c r="AC13" i="41"/>
  <c r="AC51" i="41"/>
  <c r="AC47" i="41"/>
  <c r="AC49" i="41"/>
  <c r="AC19" i="41"/>
  <c r="AC18" i="41"/>
  <c r="AC38" i="41"/>
  <c r="AC21" i="41"/>
  <c r="AC35" i="41"/>
  <c r="AC9" i="41"/>
  <c r="E53" i="93"/>
  <c r="E30" i="93"/>
  <c r="E22" i="93"/>
  <c r="E32" i="93"/>
  <c r="E64" i="93"/>
  <c r="E25" i="93"/>
  <c r="E52" i="93"/>
  <c r="E27" i="93"/>
  <c r="E60" i="93"/>
  <c r="E11" i="93"/>
  <c r="E16" i="93"/>
  <c r="E62" i="93"/>
  <c r="E28" i="93"/>
  <c r="E55" i="93"/>
  <c r="E48" i="93"/>
  <c r="E24" i="93"/>
  <c r="E18" i="93"/>
  <c r="E40" i="93"/>
  <c r="E38" i="93"/>
  <c r="E43" i="93"/>
  <c r="E35" i="93"/>
  <c r="E9" i="93"/>
  <c r="E7" i="93"/>
  <c r="E19" i="93"/>
  <c r="E12" i="93"/>
  <c r="E37" i="93"/>
  <c r="E44" i="93"/>
  <c r="E61" i="93"/>
  <c r="E46" i="93"/>
  <c r="E54" i="93"/>
  <c r="E14" i="93"/>
  <c r="E57" i="93"/>
  <c r="E29" i="93"/>
  <c r="E63" i="93"/>
  <c r="E26" i="93"/>
  <c r="E45" i="93"/>
  <c r="E41" i="93"/>
  <c r="E39" i="93"/>
  <c r="E51" i="93"/>
  <c r="E20" i="93"/>
  <c r="E33" i="93"/>
  <c r="E65" i="93" l="1"/>
  <c r="AC65" i="41"/>
</calcChain>
</file>

<file path=xl/sharedStrings.xml><?xml version="1.0" encoding="utf-8"?>
<sst xmlns="http://schemas.openxmlformats.org/spreadsheetml/2006/main" count="920" uniqueCount="249">
  <si>
    <t>Total</t>
  </si>
  <si>
    <t>B</t>
  </si>
  <si>
    <t>D</t>
  </si>
  <si>
    <t>E</t>
  </si>
  <si>
    <t>Alpine</t>
  </si>
  <si>
    <t>Amador</t>
  </si>
  <si>
    <t>Calaveras</t>
  </si>
  <si>
    <t>Colusa</t>
  </si>
  <si>
    <t>Del Norte</t>
  </si>
  <si>
    <t>Glenn</t>
  </si>
  <si>
    <t>Inyo</t>
  </si>
  <si>
    <t>Lassen</t>
  </si>
  <si>
    <t>Mariposa</t>
  </si>
  <si>
    <t>Modoc</t>
  </si>
  <si>
    <t>Mono</t>
  </si>
  <si>
    <t>Plumas</t>
  </si>
  <si>
    <t>San Benito</t>
  </si>
  <si>
    <t>Sierra</t>
  </si>
  <si>
    <t>Trinity</t>
  </si>
  <si>
    <t>Butte</t>
  </si>
  <si>
    <t>El Dorado</t>
  </si>
  <si>
    <t>Humboldt</t>
  </si>
  <si>
    <t>Imperial</t>
  </si>
  <si>
    <t>Kings</t>
  </si>
  <si>
    <t>Lake</t>
  </si>
  <si>
    <t>Madera</t>
  </si>
  <si>
    <t>Marin</t>
  </si>
  <si>
    <t>Mendocino</t>
  </si>
  <si>
    <t>Merced</t>
  </si>
  <si>
    <t>Napa</t>
  </si>
  <si>
    <t>Nevada</t>
  </si>
  <si>
    <t>Placer</t>
  </si>
  <si>
    <t>San Luis Obispo</t>
  </si>
  <si>
    <t>Santa Cruz</t>
  </si>
  <si>
    <t>Shasta</t>
  </si>
  <si>
    <t>Siskiyou</t>
  </si>
  <si>
    <t>Sutter</t>
  </si>
  <si>
    <t>Tehama</t>
  </si>
  <si>
    <t>Tuolumne</t>
  </si>
  <si>
    <t>Yolo</t>
  </si>
  <si>
    <t>Yuba</t>
  </si>
  <si>
    <t>Contra Costa</t>
  </si>
  <si>
    <t>Fresno</t>
  </si>
  <si>
    <t>Kern</t>
  </si>
  <si>
    <t>Monterey</t>
  </si>
  <si>
    <t>San Joaquin</t>
  </si>
  <si>
    <t>San Mateo</t>
  </si>
  <si>
    <t>Santa Barbara</t>
  </si>
  <si>
    <t>Solano</t>
  </si>
  <si>
    <t>Sonoma</t>
  </si>
  <si>
    <t>Stanislaus</t>
  </si>
  <si>
    <t>Tulare</t>
  </si>
  <si>
    <t>Ventura</t>
  </si>
  <si>
    <t>Alameda</t>
  </si>
  <si>
    <t>Los Angeles</t>
  </si>
  <si>
    <t>Orange</t>
  </si>
  <si>
    <t>Riverside</t>
  </si>
  <si>
    <t>Sacramento</t>
  </si>
  <si>
    <t>San Bernardino</t>
  </si>
  <si>
    <t>San Diego</t>
  </si>
  <si>
    <t>San Francisco</t>
  </si>
  <si>
    <t>Santa Clara</t>
  </si>
  <si>
    <t>Statewide</t>
  </si>
  <si>
    <t>Court</t>
  </si>
  <si>
    <t>NOTES:</t>
  </si>
  <si>
    <t>A</t>
  </si>
  <si>
    <t>C</t>
  </si>
  <si>
    <t>Total Benefit Need Based on RAS FTE Need</t>
  </si>
  <si>
    <t>Cluster</t>
  </si>
  <si>
    <t>Final FTE Dollar Factor</t>
  </si>
  <si>
    <t>State Employment More than 50% of Govt Workforce?</t>
  </si>
  <si>
    <t>% State</t>
  </si>
  <si>
    <t>% Local</t>
  </si>
  <si>
    <t>County</t>
  </si>
  <si>
    <t>WAFM Need</t>
  </si>
  <si>
    <t>Graduated Funding Floor That Would Apply</t>
  </si>
  <si>
    <t>M</t>
  </si>
  <si>
    <t>WAFM Post BLS FTE Allotment: Median</t>
  </si>
  <si>
    <t>Smaller of Floor vs. PY plus 10%</t>
  </si>
  <si>
    <t>Larger of Actual Cap vs. CY</t>
  </si>
  <si>
    <t>Average of Courts' Average RAS-Related Salaries</t>
  </si>
  <si>
    <t>Median</t>
  </si>
  <si>
    <t>Share of reduction</t>
  </si>
  <si>
    <t>F</t>
  </si>
  <si>
    <t>H</t>
  </si>
  <si>
    <t>I</t>
  </si>
  <si>
    <t>L</t>
  </si>
  <si>
    <t>Program 10 (Operations) Staff Need</t>
  </si>
  <si>
    <t>Program 90 (Administration) Staff Need</t>
  </si>
  <si>
    <t>Infractions</t>
  </si>
  <si>
    <t>Criminal</t>
  </si>
  <si>
    <t>Civil</t>
  </si>
  <si>
    <t>Juvenile</t>
  </si>
  <si>
    <t xml:space="preserve">F </t>
  </si>
  <si>
    <t>Allocation Reduction Base</t>
  </si>
  <si>
    <t>Reduction Allocation</t>
  </si>
  <si>
    <t>Determine Adjusted Allocation if Floor Applies</t>
  </si>
  <si>
    <t>% of Statewide Need</t>
  </si>
  <si>
    <t>Eligible for FTE Floor (&lt;50)?</t>
  </si>
  <si>
    <t>Change from Funding Floor Adjustments</t>
  </si>
  <si>
    <t>Average</t>
  </si>
  <si>
    <t>Previous Year Need (2017-18)</t>
  </si>
  <si>
    <t xml:space="preserve">Previous Year Allocation (2017-18) </t>
  </si>
  <si>
    <t>Previous Year % of Need</t>
  </si>
  <si>
    <t>Difference Between % of Need and State Avg.</t>
  </si>
  <si>
    <t xml:space="preserve">Current Year Allocation (2018-19) </t>
  </si>
  <si>
    <t>Current Year Need (2018-19)</t>
  </si>
  <si>
    <t>Current  Year % of Need</t>
  </si>
  <si>
    <t>Difference in Funding (Year to Year)</t>
  </si>
  <si>
    <t>Difference in Need (Year to Year)</t>
  </si>
  <si>
    <t>Percent Difference</t>
  </si>
  <si>
    <t>Floor Allocation Adjustment*</t>
  </si>
  <si>
    <t xml:space="preserve">* The floor allocation adjustment formula was changed to add a clause that brought the two absolute floor courts (Alpine and Sierra) back to the floor if they were to start out above the floor amount. </t>
  </si>
  <si>
    <t>GG</t>
  </si>
  <si>
    <t>G</t>
  </si>
  <si>
    <t>J</t>
  </si>
  <si>
    <t>K</t>
  </si>
  <si>
    <t>N</t>
  </si>
  <si>
    <t>TAB</t>
  </si>
  <si>
    <t>RAS</t>
  </si>
  <si>
    <t>AVG RAS Salary</t>
  </si>
  <si>
    <t>* Much of the ratios come from the 7A and as discussed there were two versions of the 7A (the "Colin" version that Suzanne used and the "Joe" version used for RAS). WAFM has been recalculated using the RAS version as it seems more accurate</t>
  </si>
  <si>
    <t xml:space="preserve">FTE Allotment Factor </t>
  </si>
  <si>
    <t xml:space="preserve">This comes from the 7A. Total Filled FTE and Total Salaries for specified positions. </t>
  </si>
  <si>
    <t>BLS</t>
  </si>
  <si>
    <t>This uses the latest 3-year average (local average is used unless State employees are over 50% of government workforce - in that case, the State/Local Average is used)</t>
  </si>
  <si>
    <r>
      <t xml:space="preserve">To calculate this value, the BLS is multiplied by the </t>
    </r>
    <r>
      <rPr>
        <b/>
        <i/>
        <sz val="11"/>
        <color theme="1"/>
        <rFont val="Calibri"/>
        <family val="2"/>
        <scheme val="minor"/>
      </rPr>
      <t xml:space="preserve">Average RAS Salary </t>
    </r>
    <r>
      <rPr>
        <sz val="11"/>
        <color theme="1"/>
        <rFont val="Calibri"/>
        <family val="2"/>
        <scheme val="minor"/>
      </rPr>
      <t xml:space="preserve">(average of each court's average salary per FTE) to get an </t>
    </r>
    <r>
      <rPr>
        <b/>
        <i/>
        <sz val="11"/>
        <color theme="1"/>
        <rFont val="Calibri"/>
        <family val="2"/>
        <scheme val="minor"/>
      </rPr>
      <t>FTE Dollar Factor Applied</t>
    </r>
    <r>
      <rPr>
        <sz val="11"/>
        <color theme="1"/>
        <rFont val="Calibri"/>
        <family val="2"/>
        <scheme val="minor"/>
      </rPr>
      <t xml:space="preserve">. If the court has under 50 FTE and their FTE Dollar Factor Applied is less than the median value for all courts under 50 FTE, then the aforementioned median (for under 50 FTE courts) is used. This is refered to as the </t>
    </r>
    <r>
      <rPr>
        <b/>
        <i/>
        <sz val="11"/>
        <color theme="1"/>
        <rFont val="Calibri"/>
        <family val="2"/>
        <scheme val="minor"/>
      </rPr>
      <t>Post-BLS FTE Allotment Median</t>
    </r>
  </si>
  <si>
    <t>Program 10</t>
  </si>
  <si>
    <t>Program 90</t>
  </si>
  <si>
    <t>CEO Salary</t>
  </si>
  <si>
    <t>OE&amp;E by Cluster</t>
  </si>
  <si>
    <t>Floor Adjustment</t>
  </si>
  <si>
    <t>Previous Year</t>
  </si>
  <si>
    <t>Current Year</t>
  </si>
  <si>
    <r>
      <t xml:space="preserve">Summed from the 7A: Total Filled FTE, Total Salary, Salary Driven Benefits and Non-Salary Driven Benefits. Calculates percent of salary driven benefits and actual non-salary driven benefits for the </t>
    </r>
    <r>
      <rPr>
        <b/>
        <i/>
        <sz val="11"/>
        <color theme="1"/>
        <rFont val="Calibri"/>
        <family val="2"/>
        <scheme val="minor"/>
      </rPr>
      <t>WAFM Need</t>
    </r>
    <r>
      <rPr>
        <sz val="11"/>
        <color theme="1"/>
        <rFont val="Calibri"/>
        <family val="2"/>
        <scheme val="minor"/>
      </rPr>
      <t xml:space="preserve"> Tab</t>
    </r>
  </si>
  <si>
    <r>
      <t xml:space="preserve">Taken from the 7A: Filled FTE and Total Salary. Used in the </t>
    </r>
    <r>
      <rPr>
        <b/>
        <i/>
        <sz val="11"/>
        <color theme="1"/>
        <rFont val="Calibri"/>
        <family val="2"/>
        <scheme val="minor"/>
      </rPr>
      <t xml:space="preserve">CEO Salary </t>
    </r>
    <r>
      <rPr>
        <sz val="11"/>
        <color theme="1"/>
        <rFont val="Calibri"/>
        <family val="2"/>
        <scheme val="minor"/>
      </rPr>
      <t>Tab. Cluster average calculated and used in the</t>
    </r>
    <r>
      <rPr>
        <b/>
        <i/>
        <sz val="11"/>
        <color theme="1"/>
        <rFont val="Calibri"/>
        <family val="2"/>
        <scheme val="minor"/>
      </rPr>
      <t xml:space="preserve"> WAFM Need </t>
    </r>
    <r>
      <rPr>
        <sz val="11"/>
        <color theme="1"/>
        <rFont val="Calibri"/>
        <family val="2"/>
        <scheme val="minor"/>
      </rPr>
      <t xml:space="preserve">Tab </t>
    </r>
  </si>
  <si>
    <r>
      <t xml:space="preserve">Calculated outside of this worksheet and copy/pasted for use in the </t>
    </r>
    <r>
      <rPr>
        <b/>
        <i/>
        <sz val="11"/>
        <color theme="1"/>
        <rFont val="Calibri"/>
        <family val="2"/>
        <scheme val="minor"/>
      </rPr>
      <t>WAFM Need</t>
    </r>
    <r>
      <rPr>
        <sz val="11"/>
        <color theme="1"/>
        <rFont val="Calibri"/>
        <family val="2"/>
        <scheme val="minor"/>
      </rPr>
      <t xml:space="preserve"> Tab</t>
    </r>
  </si>
  <si>
    <t>Floors</t>
  </si>
  <si>
    <r>
      <t xml:space="preserve">This is a reference document used in the </t>
    </r>
    <r>
      <rPr>
        <b/>
        <i/>
        <sz val="11"/>
        <color theme="1"/>
        <rFont val="Calibri"/>
        <family val="2"/>
        <scheme val="minor"/>
      </rPr>
      <t>Floor Adjustment</t>
    </r>
    <r>
      <rPr>
        <sz val="11"/>
        <color theme="1"/>
        <rFont val="Calibri"/>
        <family val="2"/>
        <scheme val="minor"/>
      </rPr>
      <t xml:space="preserve"> Tab</t>
    </r>
  </si>
  <si>
    <t xml:space="preserve">Copy/Paste Previous Year's Data </t>
  </si>
  <si>
    <r>
      <rPr>
        <b/>
        <i/>
        <sz val="11"/>
        <color theme="1"/>
        <rFont val="Calibri"/>
        <family val="2"/>
        <scheme val="minor"/>
      </rPr>
      <t>Total 2018-19 WAFM-Related Allocation (Prior to implementing funding floor)</t>
    </r>
    <r>
      <rPr>
        <sz val="11"/>
        <color theme="1"/>
        <rFont val="Calibri"/>
        <family val="2"/>
        <scheme val="minor"/>
      </rPr>
      <t xml:space="preserve"> is pasted from the WAFM Base worksheet and used in the Floor Adjustment Tab. The WAFM Need comes from the WAFM Need Tab.</t>
    </r>
  </si>
  <si>
    <t>RAS 
Total 
FTE Need</t>
  </si>
  <si>
    <t>RAS FTE Need 
Multiplied by 
Average RAS 
Salary</t>
  </si>
  <si>
    <t xml:space="preserve">CEO w/ BLS 
Adjustment </t>
  </si>
  <si>
    <t>O</t>
  </si>
  <si>
    <t>P</t>
  </si>
  <si>
    <t>Q</t>
  </si>
  <si>
    <t>R</t>
  </si>
  <si>
    <t>S</t>
  </si>
  <si>
    <t>U</t>
  </si>
  <si>
    <t>Adjust Base Dollars for 
Local Cost of Labor; Apply 
FTE Dollar Factor</t>
  </si>
  <si>
    <t>Pre-Benefits 
Adjusted 
Base</t>
  </si>
  <si>
    <t>Projected Benefits Expenses 
(Salary-Driven Benefits Based on Adjusted Base)</t>
  </si>
  <si>
    <t>Average % of
 Salary-Driven
Benefits 
Program 10</t>
  </si>
  <si>
    <t>Average Actual
Non Salary-
Driven Benefits
per FTE 
Program 10</t>
  </si>
  <si>
    <t>Average % of Salary-Driven Benefits 
Program 90</t>
  </si>
  <si>
    <t>Average Actual
Non Salary-
Driven Benefits
per FTE 
Program 90</t>
  </si>
  <si>
    <t>Benefits Needed 
for RAS FTE Need
Program 10</t>
  </si>
  <si>
    <t>Benefits Needed 
for RAS FTE Need
Program 90</t>
  </si>
  <si>
    <t>T</t>
  </si>
  <si>
    <t>Total 
Program 10 
Need 
(A thru F)</t>
  </si>
  <si>
    <r>
      <t xml:space="preserve">RAS 
FTE Need
Program 10
</t>
    </r>
    <r>
      <rPr>
        <b/>
        <sz val="10"/>
        <color theme="1"/>
        <rFont val="Calibri"/>
        <family val="2"/>
        <scheme val="minor"/>
      </rPr>
      <t>(Operations)</t>
    </r>
  </si>
  <si>
    <r>
      <t xml:space="preserve">RAS 
FTE Need
Program 90
</t>
    </r>
    <r>
      <rPr>
        <b/>
        <sz val="10"/>
        <color theme="1"/>
        <rFont val="Calibri"/>
        <family val="2"/>
        <scheme val="minor"/>
      </rPr>
      <t>(Administration)</t>
    </r>
  </si>
  <si>
    <r>
      <t>Non-RAS FTE (for Program 90 Need Calculation)</t>
    </r>
    <r>
      <rPr>
        <b/>
        <sz val="11"/>
        <color theme="1"/>
        <rFont val="Calibri"/>
        <family val="2"/>
      </rPr>
      <t>²</t>
    </r>
  </si>
  <si>
    <t>Family 
Law</t>
  </si>
  <si>
    <t>Court Interpreter 
FTE</t>
  </si>
  <si>
    <t>Manager /  Supervisor 
Ratio 
(by Cluster)</t>
  </si>
  <si>
    <t>Manager / Supervisor Need 
(G + GG ) / H</t>
  </si>
  <si>
    <t>Total 
Program 10 Need, 
Rounded up 
(G + I)</t>
  </si>
  <si>
    <t>Program 90 Need, Rounded up 
(J + K) / L</t>
  </si>
  <si>
    <t>Program 90 Ratio 
(by Cluster)</t>
  </si>
  <si>
    <r>
      <t>Average Salary for RAS-Related FTEs</t>
    </r>
    <r>
      <rPr>
        <b/>
        <sz val="11"/>
        <color theme="1"/>
        <rFont val="Calibri"/>
        <family val="2"/>
      </rPr>
      <t>²</t>
    </r>
  </si>
  <si>
    <t>² Salaries and FTEs exclude those related to non-court-operations Program, Element, Component, and Task (PECTs), Subordinate Judicial Officers, Court Executive Officers, marshals, court attendants, interpreters and interpreter coordinators, and vacant positions.</t>
  </si>
  <si>
    <r>
      <t>Average Resource Assessment Study (RAS) Salary</t>
    </r>
    <r>
      <rPr>
        <b/>
        <sz val="14"/>
        <color theme="1"/>
        <rFont val="Calibri"/>
        <family val="2"/>
      </rPr>
      <t>¹</t>
    </r>
  </si>
  <si>
    <t>Totals</t>
  </si>
  <si>
    <t>Total Filled 
Full-Time Equivalents (FTEs)</t>
  </si>
  <si>
    <t>Total 
Salaries</t>
  </si>
  <si>
    <t>Bureau of Labor Statistics (BLS)¹</t>
  </si>
  <si>
    <t>3-Year Average 
BLS Factor 
(50% Workforce Threshold)</t>
  </si>
  <si>
    <t>Probate / 
Mental
Health</t>
  </si>
  <si>
    <t>Three-Year Average BLS</t>
  </si>
  <si>
    <t>Local (92)</t>
  </si>
  <si>
    <t>State (92)</t>
  </si>
  <si>
    <t>State &amp; 
Local 92</t>
  </si>
  <si>
    <t>Full-Time Equivalent (FTE) Allotment Factor</t>
  </si>
  <si>
    <t>Sum of Total 
Annual Salary</t>
  </si>
  <si>
    <t>Sum of Full-Time Equivalent (FTE) 
Position</t>
  </si>
  <si>
    <t>WAFM Calculated 
Need</t>
  </si>
  <si>
    <t>Workload-based Allocation and Funding Methodology (WAFM) Floors</t>
  </si>
  <si>
    <t>Determination of Workload-based Funding Methodology (WAFM) Funding Floor</t>
  </si>
  <si>
    <t>Current Adjusted Allocation if No Floor Applied</t>
  </si>
  <si>
    <t>Apply Floor? Yes, if 
D &gt; E</t>
  </si>
  <si>
    <t>Adjusted Allocation if No Floor Applied</t>
  </si>
  <si>
    <r>
      <t>¹</t>
    </r>
    <r>
      <rPr>
        <i/>
        <sz val="9.35"/>
        <color theme="1"/>
        <rFont val="Calibri"/>
        <family val="2"/>
      </rPr>
      <t xml:space="preserve"> </t>
    </r>
    <r>
      <rPr>
        <i/>
        <sz val="11"/>
        <color theme="1"/>
        <rFont val="Calibri"/>
        <family val="2"/>
      </rPr>
      <t>For the graduated floor, the lower of the floor or prior-year allocation plus 10%.</t>
    </r>
  </si>
  <si>
    <r>
      <t>Funding 
Floor</t>
    </r>
    <r>
      <rPr>
        <b/>
        <sz val="11"/>
        <color theme="1"/>
        <rFont val="Calibri"/>
        <family val="2"/>
      </rPr>
      <t>¹</t>
    </r>
    <r>
      <rPr>
        <b/>
        <sz val="11"/>
        <color theme="1"/>
        <rFont val="Calibri"/>
        <family val="2"/>
        <scheme val="minor"/>
      </rPr>
      <t xml:space="preserve"> </t>
    </r>
  </si>
  <si>
    <t>Prior Year Plus 
10%</t>
  </si>
  <si>
    <t>OE&amp;E / Full-Time Equivalent 
(FTE) Weighted Mean</t>
  </si>
  <si>
    <t>Operating Expenditures and Equipment (OE&amp;E) by Cluster¹</t>
  </si>
  <si>
    <t>Court Executive Officer Salary</t>
  </si>
  <si>
    <t>Sum of Total 
Salary-Driven 
Benefits</t>
  </si>
  <si>
    <t>Sum of Total 
Non Salary-Driven Benefits</t>
  </si>
  <si>
    <t>Average % of 
Salary-Driven 
Benefits</t>
  </si>
  <si>
    <t xml:space="preserve">Average Actual 
Non Salary-Driven Benefits per FTE </t>
  </si>
  <si>
    <r>
      <t xml:space="preserve">Position 
</t>
    </r>
    <r>
      <rPr>
        <b/>
        <sz val="9"/>
        <color theme="1"/>
        <rFont val="Calibri"/>
        <family val="2"/>
        <scheme val="minor"/>
      </rPr>
      <t>(Full-Time Equivalent)</t>
    </r>
  </si>
  <si>
    <t>Bureau of Labor Statistics (BLS) Factor</t>
  </si>
  <si>
    <t>FTE 
Need</t>
  </si>
  <si>
    <t>April 26, 2019</t>
  </si>
  <si>
    <t>April, 26, 2019</t>
  </si>
  <si>
    <t>Courts whose workload need falls below 800,000 shall be allocated the base floor of 800,000</t>
  </si>
  <si>
    <t xml:space="preserve">This is currently calculated by Khulan and Copy/Pasted into this sheet. There are no calculations or references to other sheets. </t>
  </si>
  <si>
    <t>Total WF Funding Need
(J + Q + R - S)</t>
  </si>
  <si>
    <t xml:space="preserve">Proportion of Total WF Estimated Funding Need </t>
  </si>
  <si>
    <t>COURT</t>
  </si>
  <si>
    <t xml:space="preserve">CSC </t>
  </si>
  <si>
    <t>FLF</t>
  </si>
  <si>
    <t>TOTAL</t>
  </si>
  <si>
    <t>Court Number</t>
  </si>
  <si>
    <r>
      <t>Resource Assessment Study (RAS) Model Full-Time Equivalent 
(FTE) Need</t>
    </r>
    <r>
      <rPr>
        <b/>
        <vertAlign val="superscript"/>
        <sz val="11"/>
        <color theme="1"/>
        <rFont val="Calibri"/>
        <family val="2"/>
        <scheme val="minor"/>
      </rPr>
      <t>1</t>
    </r>
  </si>
  <si>
    <r>
      <t>Court Executive 
Officer (CEO) 
Cluster Average 
Salary</t>
    </r>
    <r>
      <rPr>
        <b/>
        <vertAlign val="superscript"/>
        <sz val="10"/>
        <rFont val="Calibri"/>
        <family val="2"/>
        <scheme val="minor"/>
      </rPr>
      <t>3</t>
    </r>
  </si>
  <si>
    <r>
      <t>BLS 
Factor</t>
    </r>
    <r>
      <rPr>
        <b/>
        <vertAlign val="superscript"/>
        <sz val="11"/>
        <color theme="1"/>
        <rFont val="Calibri"/>
        <family val="2"/>
        <scheme val="minor"/>
      </rPr>
      <t>4</t>
    </r>
  </si>
  <si>
    <r>
      <t>Average Salary-Driven Benefits as % of Salary and 
Average Non Salary-Driven Benefits Per FTE</t>
    </r>
    <r>
      <rPr>
        <b/>
        <vertAlign val="superscript"/>
        <sz val="11"/>
        <rFont val="Calibri"/>
        <family val="2"/>
        <scheme val="minor"/>
      </rPr>
      <t>5</t>
    </r>
  </si>
  <si>
    <r>
      <t xml:space="preserve">Estimated OE&amp;E Needed; 
Excludes funding 
for </t>
    </r>
    <r>
      <rPr>
        <b/>
        <i/>
        <sz val="11"/>
        <color theme="0"/>
        <rFont val="Calibri"/>
        <family val="2"/>
        <scheme val="minor"/>
      </rPr>
      <t>operations</t>
    </r>
    <r>
      <rPr>
        <b/>
        <sz val="11"/>
        <color theme="0"/>
        <rFont val="Calibri"/>
        <family val="2"/>
        <scheme val="minor"/>
      </rPr>
      <t xml:space="preserve"> contracts</t>
    </r>
    <r>
      <rPr>
        <b/>
        <vertAlign val="superscript"/>
        <sz val="11"/>
        <color theme="0"/>
        <rFont val="Calibri"/>
        <family val="2"/>
      </rPr>
      <t>6</t>
    </r>
  </si>
  <si>
    <r>
      <t>Remove AB 1058 Staff/Family Law Facilitator Costs</t>
    </r>
    <r>
      <rPr>
        <b/>
        <vertAlign val="superscript"/>
        <sz val="11"/>
        <color theme="0"/>
        <rFont val="Calibri"/>
        <family val="2"/>
        <scheme val="minor"/>
      </rPr>
      <t>7</t>
    </r>
  </si>
  <si>
    <t>RAS FTE Need 
Multiplied by 
BLS
(Avg. Salary * BLS)</t>
  </si>
  <si>
    <t>RAS FTE Need 
Multiplied by 
Allotment Factor w/
&lt; 50 FTE &amp; Median Adjustments</t>
  </si>
  <si>
    <r>
      <t>FTE Need Multiplied by FTE Allotment Factor, 
Prior to Bureau of Labor Statistics (BLS) Adjustment</t>
    </r>
    <r>
      <rPr>
        <b/>
        <vertAlign val="superscript"/>
        <sz val="11"/>
        <color theme="1"/>
        <rFont val="Calibri"/>
        <family val="2"/>
        <scheme val="minor"/>
      </rPr>
      <t>2</t>
    </r>
  </si>
  <si>
    <t>Total RAS Need 
(J + M)</t>
  </si>
  <si>
    <t>2026-27 Workload Formula</t>
  </si>
  <si>
    <r>
      <t xml:space="preserve">¹ Estimated need based on three-year average filings data from </t>
    </r>
    <r>
      <rPr>
        <i/>
        <sz val="11"/>
        <rFont val="Calibri"/>
        <family val="2"/>
        <scheme val="minor"/>
      </rPr>
      <t>2022-2023 through 2024-2025.</t>
    </r>
    <r>
      <rPr>
        <i/>
        <sz val="11"/>
        <color theme="1"/>
        <rFont val="Calibri"/>
        <family val="2"/>
        <scheme val="minor"/>
      </rPr>
      <t xml:space="preserve"> </t>
    </r>
  </si>
  <si>
    <r>
      <rPr>
        <i/>
        <vertAlign val="superscript"/>
        <sz val="11"/>
        <color theme="1"/>
        <rFont val="Calibri"/>
        <family val="2"/>
        <scheme val="minor"/>
      </rPr>
      <t>2</t>
    </r>
    <r>
      <rPr>
        <i/>
        <sz val="11"/>
        <color theme="1"/>
        <rFont val="Calibri"/>
        <family val="2"/>
        <scheme val="minor"/>
      </rPr>
      <t>Unadjusted base funding per RAS FTE, based on 2025-26 Schedule 7A; does not include collections staff, Subordinate Judicial Officers, CEO, security, or vacant positions. In January 2014, the Trial Court Budget Advisory Committee approved a dollar factor adjustment for courts with fewer than 50 FTE.</t>
    </r>
  </si>
  <si>
    <r>
      <rPr>
        <i/>
        <vertAlign val="superscript"/>
        <sz val="11"/>
        <color theme="1"/>
        <rFont val="Calibri"/>
        <family val="2"/>
        <scheme val="minor"/>
      </rPr>
      <t>3</t>
    </r>
    <r>
      <rPr>
        <i/>
        <sz val="11"/>
        <color theme="1"/>
        <rFont val="Calibri"/>
        <family val="2"/>
        <scheme val="minor"/>
      </rPr>
      <t>2025-26 Schedule 7A data</t>
    </r>
  </si>
  <si>
    <r>
      <rPr>
        <i/>
        <vertAlign val="superscript"/>
        <sz val="11"/>
        <rFont val="Calibri"/>
        <family val="2"/>
        <scheme val="minor"/>
      </rPr>
      <t>4</t>
    </r>
    <r>
      <rPr>
        <i/>
        <sz val="11"/>
        <rFont val="Calibri"/>
        <family val="2"/>
        <scheme val="minor"/>
      </rPr>
      <t>BLS Cost of Labor adjustment based on Quarterly Census of Wages &amp; Employment, three-year average from 2022 through 2024. Salaries of Local Government used for comparison based on Public Administration (North American Industrial Classification System, 92) unless proportion of state government workers in total employment exceeds 50% in which case  three-year average of local and state salaries for Public Administration is used for comparison.</t>
    </r>
  </si>
  <si>
    <r>
      <rPr>
        <i/>
        <vertAlign val="superscript"/>
        <sz val="11"/>
        <color theme="1"/>
        <rFont val="Calibri"/>
        <family val="2"/>
        <scheme val="minor"/>
      </rPr>
      <t>5</t>
    </r>
    <r>
      <rPr>
        <i/>
        <sz val="11"/>
        <color theme="1"/>
        <rFont val="Calibri"/>
        <family val="2"/>
        <scheme val="minor"/>
      </rPr>
      <t>2025-26 Schedule 7A data</t>
    </r>
  </si>
  <si>
    <r>
      <rPr>
        <i/>
        <vertAlign val="superscript"/>
        <sz val="11"/>
        <color theme="1"/>
        <rFont val="Calibri"/>
        <family val="2"/>
        <scheme val="minor"/>
      </rPr>
      <t>6</t>
    </r>
    <r>
      <rPr>
        <i/>
        <sz val="11"/>
        <color theme="1"/>
        <rFont val="Calibri"/>
        <family val="2"/>
        <scheme val="minor"/>
      </rPr>
      <t>OE&amp;E Based on Cluster Average 
OE&amp;E / FTE (Cluster 1: $; Clusters 2-4: $) 
using 2022-23 to 2024-25 data</t>
    </r>
  </si>
  <si>
    <r>
      <rPr>
        <vertAlign val="superscript"/>
        <sz val="11"/>
        <color theme="1"/>
        <rFont val="Calibri"/>
        <family val="2"/>
        <scheme val="minor"/>
      </rPr>
      <t>7</t>
    </r>
    <r>
      <rPr>
        <sz val="11"/>
        <color theme="1"/>
        <rFont val="Calibri"/>
        <family val="2"/>
        <scheme val="minor"/>
      </rPr>
      <t>2024-25 data</t>
    </r>
  </si>
  <si>
    <t>¹ 2022 - 2024 data.</t>
  </si>
  <si>
    <r>
      <t>2026-27 Resource Assessment Study (RAS) Full-Time Equivalent (FTE) Need</t>
    </r>
    <r>
      <rPr>
        <b/>
        <sz val="14"/>
        <color theme="1"/>
        <rFont val="Calibri"/>
        <family val="2"/>
      </rPr>
      <t>¹</t>
    </r>
  </si>
  <si>
    <t xml:space="preserve">¹ FTE Work Year Value = 1,632.75 hours </t>
  </si>
  <si>
    <r>
      <rPr>
        <sz val="11"/>
        <color theme="1"/>
        <rFont val="Calibri"/>
        <family val="2"/>
      </rPr>
      <t>²</t>
    </r>
    <r>
      <rPr>
        <i/>
        <sz val="9.35"/>
        <color theme="1"/>
        <rFont val="Calibri"/>
        <family val="2"/>
      </rPr>
      <t xml:space="preserve"> </t>
    </r>
    <r>
      <rPr>
        <i/>
        <sz val="11"/>
        <color theme="1"/>
        <rFont val="Calibri"/>
        <family val="2"/>
        <scheme val="minor"/>
      </rPr>
      <t>Reported on 2025-26 Schedule 7A; non-RAS staff include categories such as Subordinate Judicial Officers, Enhanced Collections Staff, and Interpreters.</t>
    </r>
  </si>
  <si>
    <t>¹ Using 2025-26 data.</t>
  </si>
  <si>
    <t>2025-26</t>
  </si>
  <si>
    <t>¹ Updated three year average (2022-23 to 2024-25); changes to GL, PECT and Fund inclusion/exclusion approved by FMS have been incorporated in this OEE calculation.</t>
  </si>
  <si>
    <t>FY 24/25 AB 1058 Costs</t>
  </si>
  <si>
    <t>FY24/25 AB 1058 Costs</t>
  </si>
  <si>
    <t>Updated February 17, 2026</t>
  </si>
  <si>
    <t>Updated February 18, 2026</t>
  </si>
  <si>
    <t>Updated January 13, 2026</t>
  </si>
  <si>
    <t>Updated Janauary 13, 2026</t>
  </si>
  <si>
    <t>Updated February 27,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</si>
</sst>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41" formatCode="_(* #,##0_);_(* \(#,##0\);_(* &quot;-&quot;_);_(@_)"/>
    <numFmt numFmtId="44" formatCode="_(&quot;$&quot;* #,##0.00_);_(&quot;$&quot;* \(#,##0.00\);_(&quot;$&quot;* &quot;-&quot;??_);_(@_)"/>
    <numFmt numFmtId="43" formatCode="_(* #,##0.00_);_(* \(#,##0.00\);_(* &quot;-&quot;??_);_(@_)"/>
    <numFmt numFmtId="164" formatCode="&quot;$&quot;#,##0"/>
    <numFmt numFmtId="165" formatCode="0.0%"/>
    <numFmt numFmtId="166" formatCode="_(* #,##0_);_(* \(#,##0\);_(* &quot;-&quot;??_);_(@_)"/>
    <numFmt numFmtId="167" formatCode="_(&quot;$&quot;* #,##0_);_(&quot;$&quot;* \(#,##0\);_(&quot;$&quot;* &quot;-&quot;??_);_(@_)"/>
    <numFmt numFmtId="168" formatCode="_(* #,##0.0_);_(* \(#,##0.0\);_(* &quot;-&quot;??_);_(@_)"/>
  </numFmts>
  <fonts count="78" x14ac:knownFonts="1">
    <font>
      <sz val="11"/>
      <color theme="1"/>
      <name val="Calibri"/>
      <family val="2"/>
      <scheme val="minor"/>
    </font>
    <font>
      <sz val="12"/>
      <color theme="1"/>
      <name val="Times New Roman"/>
      <family val="2"/>
    </font>
    <font>
      <sz val="12"/>
      <color theme="1"/>
      <name val="Times New Roman"/>
      <family val="2"/>
    </font>
    <font>
      <sz val="12"/>
      <color theme="1"/>
      <name val="Times New Roman"/>
      <family val="2"/>
    </font>
    <font>
      <sz val="12"/>
      <color theme="1"/>
      <name val="Times New Roman"/>
      <family val="2"/>
    </font>
    <font>
      <sz val="12"/>
      <color theme="1"/>
      <name val="Times New Roman"/>
      <family val="2"/>
    </font>
    <font>
      <sz val="12"/>
      <color theme="1"/>
      <name val="Times New Roman"/>
      <family val="2"/>
    </font>
    <font>
      <sz val="12"/>
      <color theme="1"/>
      <name val="Times New Roman"/>
      <family val="2"/>
    </font>
    <font>
      <sz val="11"/>
      <color theme="1"/>
      <name val="Calibri"/>
      <family val="2"/>
      <scheme val="minor"/>
    </font>
    <font>
      <i/>
      <sz val="11"/>
      <color theme="1"/>
      <name val="Calibri"/>
      <family val="2"/>
      <scheme val="minor"/>
    </font>
    <font>
      <b/>
      <sz val="11"/>
      <color theme="1"/>
      <name val="Calibri"/>
      <family val="2"/>
      <scheme val="minor"/>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MS Sans Serif"/>
      <family val="2"/>
    </font>
    <font>
      <sz val="12"/>
      <color indexed="8"/>
      <name val="Times New Roman"/>
      <family val="2"/>
    </font>
    <font>
      <sz val="10"/>
      <color indexed="24"/>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8"/>
      <color indexed="56"/>
      <name val="Cambria"/>
      <family val="2"/>
    </font>
    <font>
      <b/>
      <sz val="11"/>
      <color indexed="8"/>
      <name val="Calibri"/>
      <family val="2"/>
    </font>
    <font>
      <sz val="11"/>
      <color indexed="10"/>
      <name val="Calibri"/>
      <family val="2"/>
    </font>
    <font>
      <b/>
      <sz val="12"/>
      <color theme="1"/>
      <name val="Calibri"/>
      <family val="2"/>
      <scheme val="minor"/>
    </font>
    <font>
      <sz val="11"/>
      <color theme="0"/>
      <name val="Calibri"/>
      <family val="2"/>
      <scheme val="minor"/>
    </font>
    <font>
      <sz val="11"/>
      <name val="Calibri"/>
      <family val="2"/>
      <scheme val="minor"/>
    </font>
    <font>
      <b/>
      <sz val="26"/>
      <color theme="1"/>
      <name val="Calibri"/>
      <family val="2"/>
      <scheme val="minor"/>
    </font>
    <font>
      <b/>
      <i/>
      <sz val="11"/>
      <color theme="1"/>
      <name val="Calibri"/>
      <family val="2"/>
      <scheme val="minor"/>
    </font>
    <font>
      <b/>
      <sz val="14"/>
      <color theme="1"/>
      <name val="Calibri"/>
      <family val="2"/>
      <scheme val="minor"/>
    </font>
    <font>
      <sz val="11"/>
      <color indexed="8"/>
      <name val="Calibri"/>
      <family val="2"/>
      <scheme val="minor"/>
    </font>
    <font>
      <b/>
      <sz val="11"/>
      <color indexed="8"/>
      <name val="Calibri"/>
      <family val="2"/>
      <scheme val="minor"/>
    </font>
    <font>
      <b/>
      <sz val="11"/>
      <name val="Calibri"/>
      <family val="2"/>
      <scheme val="minor"/>
    </font>
    <font>
      <b/>
      <sz val="14"/>
      <name val="Calibri"/>
      <family val="2"/>
      <scheme val="minor"/>
    </font>
    <font>
      <sz val="11"/>
      <name val="Calibri"/>
      <family val="2"/>
    </font>
    <font>
      <sz val="10"/>
      <color theme="1"/>
      <name val="Calibri"/>
      <family val="2"/>
      <scheme val="minor"/>
    </font>
    <font>
      <b/>
      <sz val="11"/>
      <color theme="1"/>
      <name val="Calibri"/>
      <family val="2"/>
    </font>
    <font>
      <b/>
      <sz val="11"/>
      <color theme="0"/>
      <name val="Calibri"/>
      <family val="2"/>
      <scheme val="minor"/>
    </font>
    <font>
      <sz val="11"/>
      <color rgb="FFFF0000"/>
      <name val="Calibri"/>
      <family val="2"/>
      <scheme val="minor"/>
    </font>
    <font>
      <b/>
      <sz val="10"/>
      <color theme="1"/>
      <name val="Calibri"/>
      <family val="2"/>
      <scheme val="minor"/>
    </font>
    <font>
      <sz val="11"/>
      <color theme="1"/>
      <name val="Calibri"/>
      <family val="2"/>
    </font>
    <font>
      <i/>
      <sz val="9.35"/>
      <color theme="1"/>
      <name val="Calibri"/>
      <family val="2"/>
    </font>
    <font>
      <i/>
      <sz val="11"/>
      <color theme="1"/>
      <name val="Calibri"/>
      <family val="2"/>
    </font>
    <font>
      <b/>
      <sz val="9"/>
      <color theme="1"/>
      <name val="Calibri"/>
      <family val="2"/>
      <scheme val="minor"/>
    </font>
    <font>
      <sz val="10"/>
      <color theme="0"/>
      <name val="Calibri"/>
      <family val="2"/>
      <scheme val="minor"/>
    </font>
    <font>
      <b/>
      <sz val="10"/>
      <name val="Calibri"/>
      <family val="2"/>
      <scheme val="minor"/>
    </font>
    <font>
      <b/>
      <i/>
      <sz val="11"/>
      <color theme="0"/>
      <name val="Calibri"/>
      <family val="2"/>
      <scheme val="minor"/>
    </font>
    <font>
      <b/>
      <sz val="14"/>
      <color theme="1"/>
      <name val="Calibri"/>
      <family val="2"/>
    </font>
    <font>
      <i/>
      <sz val="11"/>
      <name val="Calibri"/>
      <family val="2"/>
      <scheme val="minor"/>
    </font>
    <font>
      <i/>
      <sz val="11"/>
      <name val="Calibri"/>
      <family val="2"/>
    </font>
    <font>
      <sz val="11"/>
      <color theme="0" tint="-0.499984740745262"/>
      <name val="Calibri"/>
      <family val="2"/>
      <scheme val="minor"/>
    </font>
    <font>
      <b/>
      <sz val="11"/>
      <color theme="0" tint="-0.499984740745262"/>
      <name val="Calibri"/>
      <family val="2"/>
      <scheme val="minor"/>
    </font>
    <font>
      <b/>
      <sz val="12"/>
      <color theme="0"/>
      <name val="Calibri"/>
      <family val="2"/>
      <scheme val="minor"/>
    </font>
    <font>
      <sz val="11"/>
      <color theme="0" tint="-0.34998626667073579"/>
      <name val="Calibri"/>
      <family val="2"/>
      <scheme val="minor"/>
    </font>
    <font>
      <b/>
      <sz val="11"/>
      <color rgb="FFFF0000"/>
      <name val="Calibri"/>
      <family val="2"/>
      <scheme val="minor"/>
    </font>
    <font>
      <b/>
      <i/>
      <sz val="11"/>
      <color rgb="FFFF0000"/>
      <name val="Calibri"/>
      <family val="2"/>
      <scheme val="minor"/>
    </font>
    <font>
      <b/>
      <vertAlign val="superscript"/>
      <sz val="10"/>
      <name val="Calibri"/>
      <family val="2"/>
      <scheme val="minor"/>
    </font>
    <font>
      <i/>
      <vertAlign val="superscript"/>
      <sz val="11"/>
      <color theme="1"/>
      <name val="Calibri"/>
      <family val="2"/>
      <scheme val="minor"/>
    </font>
    <font>
      <b/>
      <vertAlign val="superscript"/>
      <sz val="11"/>
      <color theme="1"/>
      <name val="Calibri"/>
      <family val="2"/>
      <scheme val="minor"/>
    </font>
    <font>
      <b/>
      <vertAlign val="superscript"/>
      <sz val="11"/>
      <name val="Calibri"/>
      <family val="2"/>
      <scheme val="minor"/>
    </font>
    <font>
      <b/>
      <vertAlign val="superscript"/>
      <sz val="11"/>
      <color theme="0"/>
      <name val="Calibri"/>
      <family val="2"/>
    </font>
    <font>
      <i/>
      <sz val="12"/>
      <color theme="1"/>
      <name val="Calibri"/>
      <family val="2"/>
      <scheme val="minor"/>
    </font>
    <font>
      <b/>
      <vertAlign val="superscript"/>
      <sz val="11"/>
      <color theme="0"/>
      <name val="Calibri"/>
      <family val="2"/>
      <scheme val="minor"/>
    </font>
    <font>
      <vertAlign val="superscript"/>
      <sz val="11"/>
      <color theme="1"/>
      <name val="Calibri"/>
      <family val="2"/>
      <scheme val="minor"/>
    </font>
    <font>
      <i/>
      <vertAlign val="superscript"/>
      <sz val="11"/>
      <name val="Calibri"/>
      <family val="2"/>
      <scheme val="minor"/>
    </font>
  </fonts>
  <fills count="41">
    <fill>
      <patternFill patternType="none"/>
    </fill>
    <fill>
      <patternFill patternType="gray125"/>
    </fill>
    <fill>
      <patternFill patternType="solid">
        <fgColor theme="8"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6" tint="0.79995117038483843"/>
        <bgColor indexed="65"/>
      </patternFill>
    </fill>
    <fill>
      <patternFill patternType="solid">
        <fgColor theme="9" tint="0.79995117038483843"/>
        <bgColor indexed="65"/>
      </patternFill>
    </fill>
    <fill>
      <patternFill patternType="solid">
        <fgColor theme="4" tint="0.79995117038483843"/>
        <bgColor indexed="65"/>
      </patternFill>
    </fill>
    <fill>
      <patternFill patternType="solid">
        <fgColor rgb="FFFFFF0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8" tint="-0.499984740745262"/>
        <bgColor indexed="64"/>
      </patternFill>
    </fill>
    <fill>
      <patternFill patternType="solid">
        <fgColor rgb="FF2F7E91"/>
        <bgColor indexed="64"/>
      </patternFill>
    </fill>
    <fill>
      <patternFill patternType="solid">
        <fgColor rgb="FF5AB2CA"/>
        <bgColor indexed="64"/>
      </patternFill>
    </fill>
    <fill>
      <patternFill patternType="solid">
        <fgColor rgb="FF3593A9"/>
        <bgColor indexed="64"/>
      </patternFill>
    </fill>
    <fill>
      <patternFill patternType="solid">
        <fgColor theme="0" tint="-0.14999847407452621"/>
        <bgColor theme="4" tint="0.79998168889431442"/>
      </patternFill>
    </fill>
    <fill>
      <patternFill patternType="solid">
        <fgColor theme="8" tint="0.79998168889431442"/>
        <bgColor theme="4" tint="0.79998168889431442"/>
      </patternFill>
    </fill>
  </fills>
  <borders count="33">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
      <left/>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330">
    <xf numFmtId="0" fontId="0" fillId="0" borderId="0"/>
    <xf numFmtId="9"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11" fillId="0" borderId="0"/>
    <xf numFmtId="0" fontId="11" fillId="0" borderId="0"/>
    <xf numFmtId="0" fontId="7" fillId="0" borderId="0"/>
    <xf numFmtId="43" fontId="7" fillId="0" borderId="0" applyFont="0" applyFill="0" applyBorder="0" applyAlignment="0" applyProtection="0"/>
    <xf numFmtId="43" fontId="8"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0" fontId="8" fillId="0" borderId="0"/>
    <xf numFmtId="0" fontId="8" fillId="0" borderId="0"/>
    <xf numFmtId="0" fontId="8" fillId="0" borderId="0"/>
    <xf numFmtId="9" fontId="7"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21" borderId="8" applyNumberFormat="0" applyAlignment="0" applyProtection="0"/>
    <xf numFmtId="0" fontId="16" fillId="21" borderId="8" applyNumberFormat="0" applyAlignment="0" applyProtection="0"/>
    <xf numFmtId="0" fontId="16" fillId="21" borderId="8" applyNumberFormat="0" applyAlignment="0" applyProtection="0"/>
    <xf numFmtId="0" fontId="16" fillId="21" borderId="8" applyNumberFormat="0" applyAlignment="0" applyProtection="0"/>
    <xf numFmtId="0" fontId="16" fillId="21" borderId="8" applyNumberFormat="0" applyAlignment="0" applyProtection="0"/>
    <xf numFmtId="0" fontId="17" fillId="22" borderId="9" applyNumberFormat="0" applyAlignment="0" applyProtection="0"/>
    <xf numFmtId="0" fontId="17" fillId="22" borderId="9" applyNumberFormat="0" applyAlignment="0" applyProtection="0"/>
    <xf numFmtId="0" fontId="17" fillId="22" borderId="9" applyNumberFormat="0" applyAlignment="0" applyProtection="0"/>
    <xf numFmtId="0" fontId="17" fillId="22" borderId="9" applyNumberFormat="0" applyAlignment="0" applyProtection="0"/>
    <xf numFmtId="0" fontId="17" fillId="22" borderId="9" applyNumberFormat="0" applyAlignment="0" applyProtection="0"/>
    <xf numFmtId="43" fontId="13" fillId="0" borderId="0" applyFont="0" applyFill="0" applyBorder="0" applyAlignment="0" applyProtection="0"/>
    <xf numFmtId="43" fontId="1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9" fillId="0" borderId="0" applyFont="0" applyFill="0" applyBorder="0" applyAlignment="0" applyProtection="0"/>
    <xf numFmtId="3" fontId="20" fillId="0" borderId="0" applyFont="0" applyFill="0" applyBorder="0" applyAlignment="0" applyProtection="0"/>
    <xf numFmtId="44" fontId="11" fillId="0" borderId="0" applyFont="0" applyFill="0" applyBorder="0" applyAlignment="0" applyProtection="0"/>
    <xf numFmtId="44" fontId="13"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5" fillId="0" borderId="12" applyNumberFormat="0" applyFill="0" applyAlignment="0" applyProtection="0"/>
    <xf numFmtId="0" fontId="25" fillId="0" borderId="12" applyNumberFormat="0" applyFill="0" applyAlignment="0" applyProtection="0"/>
    <xf numFmtId="0" fontId="25" fillId="0" borderId="12" applyNumberFormat="0" applyFill="0" applyAlignment="0" applyProtection="0"/>
    <xf numFmtId="0" fontId="25" fillId="0" borderId="12" applyNumberFormat="0" applyFill="0" applyAlignment="0" applyProtection="0"/>
    <xf numFmtId="0" fontId="25" fillId="0" borderId="12"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6" fillId="8" borderId="8" applyNumberFormat="0" applyAlignment="0" applyProtection="0"/>
    <xf numFmtId="0" fontId="27" fillId="0" borderId="13" applyNumberFormat="0" applyFill="0" applyAlignment="0" applyProtection="0"/>
    <xf numFmtId="0" fontId="27" fillId="0" borderId="13" applyNumberFormat="0" applyFill="0" applyAlignment="0" applyProtection="0"/>
    <xf numFmtId="0" fontId="27" fillId="0" borderId="13" applyNumberFormat="0" applyFill="0" applyAlignment="0" applyProtection="0"/>
    <xf numFmtId="0" fontId="27" fillId="0" borderId="13" applyNumberFormat="0" applyFill="0" applyAlignment="0" applyProtection="0"/>
    <xf numFmtId="0" fontId="27" fillId="0" borderId="13" applyNumberFormat="0" applyFill="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18" fillId="0" borderId="0"/>
    <xf numFmtId="0" fontId="8" fillId="0" borderId="0"/>
    <xf numFmtId="0" fontId="8" fillId="0" borderId="0"/>
    <xf numFmtId="0" fontId="18" fillId="0" borderId="0"/>
    <xf numFmtId="0" fontId="11" fillId="0" borderId="0"/>
    <xf numFmtId="0" fontId="11" fillId="0" borderId="0"/>
    <xf numFmtId="0" fontId="13" fillId="0" borderId="0"/>
    <xf numFmtId="0" fontId="6" fillId="0" borderId="0"/>
    <xf numFmtId="0" fontId="11" fillId="0" borderId="0"/>
    <xf numFmtId="0" fontId="11" fillId="24" borderId="14" applyNumberFormat="0" applyFont="0" applyAlignment="0" applyProtection="0"/>
    <xf numFmtId="0" fontId="11" fillId="24" borderId="14" applyNumberFormat="0" applyFont="0" applyAlignment="0" applyProtection="0"/>
    <xf numFmtId="0" fontId="11" fillId="24" borderId="14" applyNumberFormat="0" applyFont="0" applyAlignment="0" applyProtection="0"/>
    <xf numFmtId="0" fontId="11" fillId="24" borderId="14" applyNumberFormat="0" applyFont="0" applyAlignment="0" applyProtection="0"/>
    <xf numFmtId="0" fontId="11" fillId="24" borderId="14" applyNumberFormat="0" applyFont="0" applyAlignment="0" applyProtection="0"/>
    <xf numFmtId="0" fontId="29" fillId="21" borderId="15" applyNumberFormat="0" applyAlignment="0" applyProtection="0"/>
    <xf numFmtId="0" fontId="29" fillId="21" borderId="15" applyNumberFormat="0" applyAlignment="0" applyProtection="0"/>
    <xf numFmtId="0" fontId="29" fillId="21" borderId="15" applyNumberFormat="0" applyAlignment="0" applyProtection="0"/>
    <xf numFmtId="0" fontId="29" fillId="21" borderId="15" applyNumberFormat="0" applyAlignment="0" applyProtection="0"/>
    <xf numFmtId="0" fontId="29" fillId="21" borderId="15" applyNumberFormat="0" applyAlignment="0" applyProtection="0"/>
    <xf numFmtId="40" fontId="30" fillId="25" borderId="0">
      <alignment horizontal="right"/>
    </xf>
    <xf numFmtId="0" fontId="31" fillId="25" borderId="0">
      <alignment horizontal="right"/>
    </xf>
    <xf numFmtId="0" fontId="32" fillId="25" borderId="1"/>
    <xf numFmtId="0" fontId="32" fillId="0" borderId="0" applyBorder="0">
      <alignment horizontal="centerContinuous"/>
    </xf>
    <xf numFmtId="0" fontId="33" fillId="0" borderId="0" applyBorder="0">
      <alignment horizontal="centerContinuous"/>
    </xf>
    <xf numFmtId="9" fontId="11" fillId="0" borderId="0" applyFont="0" applyFill="0" applyBorder="0" applyAlignment="0" applyProtection="0"/>
    <xf numFmtId="9" fontId="18" fillId="0" borderId="0" applyFont="0" applyFill="0" applyBorder="0" applyAlignment="0" applyProtection="0"/>
    <xf numFmtId="9" fontId="13" fillId="0" borderId="0" applyFon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16" applyNumberFormat="0" applyFill="0" applyAlignment="0" applyProtection="0"/>
    <xf numFmtId="0" fontId="35" fillId="0" borderId="16" applyNumberFormat="0" applyFill="0" applyAlignment="0" applyProtection="0"/>
    <xf numFmtId="0" fontId="35" fillId="0" borderId="16" applyNumberFormat="0" applyFill="0" applyAlignment="0" applyProtection="0"/>
    <xf numFmtId="0" fontId="35" fillId="0" borderId="16" applyNumberFormat="0" applyFill="0" applyAlignment="0" applyProtection="0"/>
    <xf numFmtId="0" fontId="35" fillId="0" borderId="16"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5" fillId="0" borderId="0"/>
    <xf numFmtId="43" fontId="5" fillId="0" borderId="0" applyFont="0" applyFill="0" applyBorder="0" applyAlignment="0" applyProtection="0"/>
    <xf numFmtId="0" fontId="11" fillId="0" borderId="0"/>
    <xf numFmtId="43" fontId="5" fillId="0" borderId="0" applyFont="0" applyFill="0" applyBorder="0" applyAlignment="0" applyProtection="0"/>
    <xf numFmtId="0" fontId="4" fillId="0" borderId="0"/>
    <xf numFmtId="43" fontId="4"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43" fontId="8"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8" fillId="0" borderId="0"/>
    <xf numFmtId="0" fontId="11" fillId="0" borderId="0"/>
    <xf numFmtId="0" fontId="18" fillId="0" borderId="0"/>
    <xf numFmtId="0" fontId="8" fillId="0" borderId="0"/>
    <xf numFmtId="0" fontId="1" fillId="0" borderId="0"/>
    <xf numFmtId="0" fontId="8"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43" fontId="13" fillId="0" borderId="0" applyFont="0" applyFill="0" applyBorder="0" applyAlignment="0" applyProtection="0"/>
    <xf numFmtId="43" fontId="8" fillId="0" borderId="0" applyFont="0" applyFill="0" applyBorder="0" applyAlignment="0" applyProtection="0"/>
    <xf numFmtId="0" fontId="8" fillId="0" borderId="0"/>
    <xf numFmtId="0" fontId="11" fillId="0" borderId="0"/>
    <xf numFmtId="0" fontId="8" fillId="0" borderId="0"/>
    <xf numFmtId="0" fontId="8" fillId="0" borderId="0"/>
    <xf numFmtId="0" fontId="8" fillId="0" borderId="0"/>
    <xf numFmtId="9" fontId="8" fillId="0" borderId="0" applyFont="0" applyFill="0" applyBorder="0" applyAlignment="0" applyProtection="0"/>
    <xf numFmtId="0" fontId="8" fillId="28" borderId="0" applyNumberFormat="0" applyBorder="0" applyAlignment="0" applyProtection="0"/>
    <xf numFmtId="0" fontId="8" fillId="29" borderId="0" applyNumberFormat="0" applyBorder="0" applyAlignment="0" applyProtection="0"/>
    <xf numFmtId="0" fontId="47" fillId="0" borderId="0"/>
    <xf numFmtId="0" fontId="8" fillId="30" borderId="0" applyNumberFormat="0" applyBorder="0" applyAlignment="0" applyProtection="0"/>
  </cellStyleXfs>
  <cellXfs count="309">
    <xf numFmtId="0" fontId="0" fillId="0" borderId="0" xfId="0"/>
    <xf numFmtId="0" fontId="39" fillId="0" borderId="0" xfId="22" applyFont="1"/>
    <xf numFmtId="0" fontId="46" fillId="0" borderId="0" xfId="22" applyFont="1"/>
    <xf numFmtId="0" fontId="10" fillId="0" borderId="0" xfId="0" applyFont="1"/>
    <xf numFmtId="0" fontId="0" fillId="0" borderId="0" xfId="0" applyAlignment="1">
      <alignment wrapText="1"/>
    </xf>
    <xf numFmtId="0" fontId="43" fillId="0" borderId="2" xfId="22" applyFont="1" applyBorder="1" applyAlignment="1">
      <alignment horizontal="center"/>
    </xf>
    <xf numFmtId="0" fontId="43" fillId="0" borderId="2" xfId="22" applyFont="1" applyBorder="1" applyAlignment="1">
      <alignment horizontal="left"/>
    </xf>
    <xf numFmtId="0" fontId="43" fillId="0" borderId="2" xfId="22" applyFont="1" applyBorder="1" applyAlignment="1">
      <alignment horizontal="left" vertical="top" wrapText="1"/>
    </xf>
    <xf numFmtId="166" fontId="0" fillId="0" borderId="2" xfId="2" applyNumberFormat="1" applyFont="1" applyFill="1" applyBorder="1" applyAlignment="1">
      <alignment vertical="center"/>
    </xf>
    <xf numFmtId="0" fontId="10" fillId="2" borderId="2" xfId="291" applyFont="1" applyFill="1" applyBorder="1" applyAlignment="1">
      <alignment horizontal="center" vertical="center" wrapText="1"/>
    </xf>
    <xf numFmtId="10" fontId="10" fillId="2" borderId="2" xfId="1" applyNumberFormat="1" applyFont="1" applyFill="1" applyBorder="1" applyAlignment="1">
      <alignment horizontal="center" vertical="center" wrapText="1"/>
    </xf>
    <xf numFmtId="0" fontId="10" fillId="2" borderId="2" xfId="22" applyFont="1" applyFill="1" applyBorder="1" applyAlignment="1">
      <alignment horizontal="center" vertical="center" wrapText="1"/>
    </xf>
    <xf numFmtId="164" fontId="10" fillId="0" borderId="0" xfId="0" applyNumberFormat="1" applyFont="1"/>
    <xf numFmtId="165" fontId="10" fillId="0" borderId="0" xfId="0" applyNumberFormat="1" applyFont="1"/>
    <xf numFmtId="165" fontId="0" fillId="0" borderId="2" xfId="0" applyNumberFormat="1" applyBorder="1"/>
    <xf numFmtId="0" fontId="10" fillId="0" borderId="0" xfId="0" applyFont="1" applyAlignment="1">
      <alignment wrapText="1"/>
    </xf>
    <xf numFmtId="0" fontId="42" fillId="0" borderId="0" xfId="6" applyFont="1" applyAlignment="1">
      <alignment horizontal="left" vertical="center"/>
    </xf>
    <xf numFmtId="0" fontId="0" fillId="0" borderId="21" xfId="6" applyFont="1" applyBorder="1"/>
    <xf numFmtId="0" fontId="48" fillId="0" borderId="0" xfId="281" applyFont="1"/>
    <xf numFmtId="0" fontId="12" fillId="0" borderId="0" xfId="6" applyFont="1"/>
    <xf numFmtId="0" fontId="10" fillId="0" borderId="0" xfId="6" applyFont="1"/>
    <xf numFmtId="164" fontId="0" fillId="0" borderId="2" xfId="0" applyNumberFormat="1" applyBorder="1"/>
    <xf numFmtId="165" fontId="0" fillId="0" borderId="25" xfId="0" applyNumberFormat="1" applyBorder="1"/>
    <xf numFmtId="0" fontId="0" fillId="0" borderId="22" xfId="6" applyFont="1" applyBorder="1"/>
    <xf numFmtId="164" fontId="0" fillId="0" borderId="23" xfId="0" applyNumberFormat="1" applyBorder="1"/>
    <xf numFmtId="165" fontId="0" fillId="0" borderId="23" xfId="0" applyNumberFormat="1" applyBorder="1"/>
    <xf numFmtId="165" fontId="0" fillId="0" borderId="26" xfId="0" applyNumberFormat="1" applyBorder="1"/>
    <xf numFmtId="0" fontId="10" fillId="2" borderId="19" xfId="6"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24" xfId="0" applyFont="1" applyFill="1" applyBorder="1" applyAlignment="1">
      <alignment horizontal="center" vertical="center" wrapText="1"/>
    </xf>
    <xf numFmtId="164" fontId="0" fillId="0" borderId="21" xfId="0" applyNumberFormat="1" applyBorder="1"/>
    <xf numFmtId="164" fontId="0" fillId="0" borderId="22" xfId="0" applyNumberFormat="1" applyBorder="1"/>
    <xf numFmtId="164" fontId="10" fillId="0" borderId="27" xfId="0" applyNumberFormat="1" applyFont="1" applyBorder="1"/>
    <xf numFmtId="165" fontId="10" fillId="0" borderId="27" xfId="0" applyNumberFormat="1" applyFont="1" applyBorder="1"/>
    <xf numFmtId="0" fontId="10" fillId="2" borderId="19" xfId="0" applyFont="1" applyFill="1" applyBorder="1" applyAlignment="1">
      <alignment horizontal="center" vertical="center" wrapText="1"/>
    </xf>
    <xf numFmtId="10" fontId="0" fillId="0" borderId="2" xfId="0" applyNumberFormat="1" applyBorder="1"/>
    <xf numFmtId="10" fontId="0" fillId="0" borderId="25" xfId="0" applyNumberFormat="1" applyBorder="1"/>
    <xf numFmtId="10" fontId="0" fillId="0" borderId="23" xfId="0" applyNumberFormat="1" applyBorder="1"/>
    <xf numFmtId="10" fontId="0" fillId="0" borderId="26" xfId="0" applyNumberFormat="1" applyBorder="1"/>
    <xf numFmtId="10" fontId="10" fillId="0" borderId="0" xfId="0" applyNumberFormat="1" applyFont="1"/>
    <xf numFmtId="0" fontId="0" fillId="31" borderId="0" xfId="0" applyFill="1"/>
    <xf numFmtId="0" fontId="10" fillId="31" borderId="0" xfId="0" applyFont="1" applyFill="1"/>
    <xf numFmtId="0" fontId="10" fillId="2" borderId="2" xfId="0" applyFont="1" applyFill="1" applyBorder="1" applyAlignment="1">
      <alignment horizontal="center" vertical="center" wrapText="1"/>
    </xf>
    <xf numFmtId="166" fontId="0" fillId="0" borderId="0" xfId="2" applyNumberFormat="1" applyFont="1" applyFill="1" applyBorder="1" applyAlignment="1">
      <alignment horizontal="center" vertical="center"/>
    </xf>
    <xf numFmtId="0" fontId="0" fillId="0" borderId="0" xfId="0" applyAlignment="1">
      <alignment horizontal="center" vertical="center"/>
    </xf>
    <xf numFmtId="166" fontId="0" fillId="0" borderId="0" xfId="2" applyNumberFormat="1" applyFont="1" applyFill="1" applyBorder="1" applyAlignment="1">
      <alignment horizontal="center" vertical="center" wrapText="1"/>
    </xf>
    <xf numFmtId="0" fontId="42" fillId="0" borderId="0" xfId="0" applyFont="1" applyAlignment="1">
      <alignment horizontal="left" vertical="center"/>
    </xf>
    <xf numFmtId="0" fontId="37" fillId="0" borderId="0" xfId="0" applyFont="1" applyAlignment="1">
      <alignment horizontal="left" vertical="center"/>
    </xf>
    <xf numFmtId="49" fontId="42" fillId="0" borderId="0" xfId="0" applyNumberFormat="1" applyFont="1" applyAlignment="1">
      <alignment horizontal="left" vertical="center"/>
    </xf>
    <xf numFmtId="49" fontId="52" fillId="0" borderId="0" xfId="0" applyNumberFormat="1" applyFont="1" applyAlignment="1">
      <alignment horizontal="left" vertical="center"/>
    </xf>
    <xf numFmtId="0" fontId="40" fillId="0" borderId="0" xfId="0" quotePrefix="1" applyFont="1" applyAlignment="1">
      <alignment vertical="center" wrapText="1"/>
    </xf>
    <xf numFmtId="0" fontId="40" fillId="0" borderId="0" xfId="0" applyFont="1" applyAlignment="1">
      <alignment horizontal="left" vertical="center" wrapText="1"/>
    </xf>
    <xf numFmtId="0" fontId="37" fillId="0" borderId="0" xfId="0" applyFont="1" applyAlignment="1">
      <alignment horizontal="left" vertical="center" wrapText="1"/>
    </xf>
    <xf numFmtId="0" fontId="0" fillId="0" borderId="0" xfId="0" applyAlignment="1">
      <alignment vertical="center"/>
    </xf>
    <xf numFmtId="3" fontId="0" fillId="0" borderId="0" xfId="0" applyNumberFormat="1" applyAlignment="1">
      <alignment vertical="center"/>
    </xf>
    <xf numFmtId="166" fontId="0" fillId="0" borderId="0" xfId="2" applyNumberFormat="1" applyFont="1" applyFill="1" applyBorder="1" applyAlignment="1">
      <alignment vertical="center"/>
    </xf>
    <xf numFmtId="164" fontId="0" fillId="0" borderId="0" xfId="0" applyNumberFormat="1" applyAlignment="1">
      <alignment vertical="center"/>
    </xf>
    <xf numFmtId="10" fontId="0" fillId="0" borderId="0" xfId="1" applyNumberFormat="1" applyFont="1" applyFill="1" applyBorder="1" applyAlignment="1">
      <alignment vertical="center"/>
    </xf>
    <xf numFmtId="166" fontId="38" fillId="0" borderId="0" xfId="2" applyNumberFormat="1" applyFont="1" applyFill="1" applyBorder="1" applyAlignment="1">
      <alignment vertical="center"/>
    </xf>
    <xf numFmtId="43" fontId="39" fillId="0" borderId="0" xfId="2" applyFont="1" applyFill="1" applyBorder="1" applyAlignment="1">
      <alignment vertical="center"/>
    </xf>
    <xf numFmtId="9" fontId="0" fillId="0" borderId="0" xfId="0" applyNumberFormat="1" applyAlignment="1">
      <alignment horizontal="right" vertical="center"/>
    </xf>
    <xf numFmtId="0" fontId="9" fillId="0" borderId="0" xfId="0" applyFont="1" applyAlignment="1">
      <alignment vertical="center"/>
    </xf>
    <xf numFmtId="0" fontId="12" fillId="0" borderId="0" xfId="0" applyFont="1" applyAlignment="1">
      <alignment vertical="center"/>
    </xf>
    <xf numFmtId="37" fontId="0" fillId="0" borderId="0" xfId="0" applyNumberFormat="1" applyAlignment="1">
      <alignment vertical="center"/>
    </xf>
    <xf numFmtId="0" fontId="10" fillId="0" borderId="0" xfId="0" applyFont="1" applyAlignment="1">
      <alignment vertical="center" wrapText="1"/>
    </xf>
    <xf numFmtId="0" fontId="0" fillId="0" borderId="2" xfId="0" applyBorder="1" applyAlignment="1">
      <alignment horizontal="center" vertical="center"/>
    </xf>
    <xf numFmtId="0" fontId="0" fillId="0" borderId="2" xfId="0" applyBorder="1" applyAlignment="1">
      <alignment vertical="center"/>
    </xf>
    <xf numFmtId="166" fontId="47" fillId="0" borderId="2" xfId="2" applyNumberFormat="1" applyFont="1" applyFill="1" applyBorder="1" applyAlignment="1">
      <alignment vertical="center"/>
    </xf>
    <xf numFmtId="3" fontId="10" fillId="0" borderId="2" xfId="0" applyNumberFormat="1" applyFont="1" applyBorder="1" applyAlignment="1">
      <alignment vertical="center"/>
    </xf>
    <xf numFmtId="3" fontId="10" fillId="0" borderId="28" xfId="0" applyNumberFormat="1" applyFont="1" applyBorder="1" applyAlignment="1">
      <alignment vertical="center"/>
    </xf>
    <xf numFmtId="164" fontId="0" fillId="0" borderId="2" xfId="0" applyNumberFormat="1" applyBorder="1" applyAlignment="1">
      <alignment vertical="center"/>
    </xf>
    <xf numFmtId="3" fontId="0" fillId="0" borderId="2" xfId="0" applyNumberFormat="1" applyBorder="1" applyAlignment="1">
      <alignment vertical="center"/>
    </xf>
    <xf numFmtId="3" fontId="0" fillId="0" borderId="2" xfId="2" applyNumberFormat="1" applyFont="1" applyFill="1" applyBorder="1" applyAlignment="1">
      <alignment vertical="center"/>
    </xf>
    <xf numFmtId="0" fontId="10" fillId="33" borderId="2" xfId="0" applyFont="1" applyFill="1" applyBorder="1" applyAlignment="1">
      <alignment horizontal="center" vertical="center" wrapText="1"/>
    </xf>
    <xf numFmtId="0" fontId="10" fillId="34" borderId="2" xfId="0" applyFont="1" applyFill="1" applyBorder="1" applyAlignment="1">
      <alignment horizontal="center" vertical="center" wrapText="1"/>
    </xf>
    <xf numFmtId="0" fontId="52" fillId="34" borderId="2" xfId="0" applyFont="1" applyFill="1" applyBorder="1" applyAlignment="1">
      <alignment horizontal="center" vertical="center" wrapText="1"/>
    </xf>
    <xf numFmtId="0" fontId="10" fillId="0" borderId="0" xfId="0" applyFont="1" applyAlignment="1">
      <alignment horizontal="center" vertical="center" wrapText="1"/>
    </xf>
    <xf numFmtId="164" fontId="10" fillId="0" borderId="28" xfId="0" applyNumberFormat="1" applyFont="1" applyBorder="1" applyAlignment="1">
      <alignment vertical="center"/>
    </xf>
    <xf numFmtId="0" fontId="52" fillId="32" borderId="2" xfId="0" applyFont="1" applyFill="1" applyBorder="1" applyAlignment="1">
      <alignment horizontal="center" vertical="center" wrapText="1"/>
    </xf>
    <xf numFmtId="166" fontId="48" fillId="0" borderId="0" xfId="2" applyNumberFormat="1" applyFont="1" applyFill="1" applyBorder="1" applyAlignment="1">
      <alignment horizontal="center" vertical="center" wrapText="1"/>
    </xf>
    <xf numFmtId="0" fontId="48" fillId="0" borderId="0" xfId="0" applyFont="1" applyAlignment="1">
      <alignment horizontal="center" vertical="center"/>
    </xf>
    <xf numFmtId="0" fontId="38" fillId="0" borderId="0" xfId="0" applyFont="1" applyAlignment="1">
      <alignment vertical="center"/>
    </xf>
    <xf numFmtId="0" fontId="57" fillId="0" borderId="0" xfId="0" applyFont="1" applyAlignment="1">
      <alignment vertical="center"/>
    </xf>
    <xf numFmtId="0" fontId="9" fillId="0" borderId="0" xfId="0" applyFont="1" applyAlignment="1">
      <alignment horizontal="right" vertical="center"/>
    </xf>
    <xf numFmtId="166" fontId="39" fillId="0" borderId="0" xfId="2" applyNumberFormat="1" applyFont="1" applyFill="1" applyBorder="1" applyAlignment="1">
      <alignment vertical="center"/>
    </xf>
    <xf numFmtId="4" fontId="0" fillId="0" borderId="2" xfId="0" applyNumberFormat="1" applyBorder="1" applyAlignment="1">
      <alignment vertical="center"/>
    </xf>
    <xf numFmtId="164" fontId="10" fillId="0" borderId="18" xfId="0" applyNumberFormat="1" applyFont="1" applyBorder="1" applyAlignment="1">
      <alignment vertical="center"/>
    </xf>
    <xf numFmtId="165" fontId="0" fillId="0" borderId="2" xfId="1" applyNumberFormat="1" applyFont="1" applyFill="1" applyBorder="1" applyAlignment="1">
      <alignment vertical="center"/>
    </xf>
    <xf numFmtId="0" fontId="52" fillId="33" borderId="2" xfId="0" applyFont="1" applyFill="1" applyBorder="1" applyAlignment="1">
      <alignment horizontal="center" vertical="center" wrapText="1"/>
    </xf>
    <xf numFmtId="164" fontId="10" fillId="0" borderId="2" xfId="0" applyNumberFormat="1" applyFont="1" applyBorder="1" applyAlignment="1">
      <alignment vertical="center"/>
    </xf>
    <xf numFmtId="3" fontId="10" fillId="0" borderId="2" xfId="2" applyNumberFormat="1" applyFont="1" applyFill="1" applyBorder="1" applyAlignment="1">
      <alignment vertical="center"/>
    </xf>
    <xf numFmtId="10" fontId="0" fillId="0" borderId="2" xfId="0" applyNumberFormat="1" applyBorder="1" applyAlignment="1">
      <alignment vertical="center"/>
    </xf>
    <xf numFmtId="10" fontId="0" fillId="0" borderId="2" xfId="1" applyNumberFormat="1" applyFont="1" applyFill="1" applyBorder="1" applyAlignment="1">
      <alignment vertical="center"/>
    </xf>
    <xf numFmtId="10" fontId="10" fillId="0" borderId="28" xfId="0" applyNumberFormat="1" applyFont="1" applyBorder="1" applyAlignment="1">
      <alignment horizontal="right" vertical="center"/>
    </xf>
    <xf numFmtId="166" fontId="50" fillId="35" borderId="2" xfId="2" applyNumberFormat="1" applyFont="1" applyFill="1" applyBorder="1" applyAlignment="1">
      <alignment horizontal="center" vertical="center" wrapText="1"/>
    </xf>
    <xf numFmtId="0" fontId="45" fillId="37" borderId="2" xfId="0" applyFont="1" applyFill="1" applyBorder="1" applyAlignment="1">
      <alignment horizontal="center" vertical="center" wrapText="1"/>
    </xf>
    <xf numFmtId="0" fontId="58" fillId="37" borderId="2" xfId="0" applyFont="1" applyFill="1" applyBorder="1" applyAlignment="1">
      <alignment horizontal="center" vertical="center" wrapText="1"/>
    </xf>
    <xf numFmtId="0" fontId="50" fillId="38" borderId="2" xfId="0" applyFont="1" applyFill="1" applyBorder="1" applyAlignment="1">
      <alignment horizontal="center" vertical="center" wrapText="1"/>
    </xf>
    <xf numFmtId="0" fontId="10" fillId="0" borderId="0" xfId="0" applyFont="1" applyAlignment="1">
      <alignment horizontal="right" vertical="center"/>
    </xf>
    <xf numFmtId="164" fontId="10" fillId="0" borderId="17" xfId="0" applyNumberFormat="1" applyFont="1" applyBorder="1" applyAlignment="1">
      <alignment vertical="center"/>
    </xf>
    <xf numFmtId="168" fontId="10" fillId="0" borderId="0" xfId="2" applyNumberFormat="1" applyFont="1" applyBorder="1" applyAlignment="1">
      <alignment vertical="center"/>
    </xf>
    <xf numFmtId="168" fontId="8" fillId="0" borderId="0" xfId="2" applyNumberFormat="1" applyFont="1" applyBorder="1" applyAlignment="1">
      <alignment vertical="center"/>
    </xf>
    <xf numFmtId="0" fontId="8" fillId="0" borderId="0" xfId="0" applyFont="1" applyAlignment="1">
      <alignment vertical="center"/>
    </xf>
    <xf numFmtId="168" fontId="45" fillId="0" borderId="0" xfId="2" applyNumberFormat="1" applyFont="1" applyBorder="1" applyAlignment="1">
      <alignment horizontal="left" vertical="center" wrapText="1"/>
    </xf>
    <xf numFmtId="168" fontId="10" fillId="0" borderId="0" xfId="2" applyNumberFormat="1" applyFont="1" applyFill="1" applyBorder="1" applyAlignment="1">
      <alignment vertical="center" wrapText="1"/>
    </xf>
    <xf numFmtId="166" fontId="8" fillId="0" borderId="0" xfId="2" applyNumberFormat="1" applyFont="1" applyBorder="1" applyAlignment="1">
      <alignment vertical="center"/>
    </xf>
    <xf numFmtId="166" fontId="8" fillId="0" borderId="0" xfId="2" applyNumberFormat="1" applyFont="1" applyFill="1" applyBorder="1" applyAlignment="1">
      <alignment vertical="center"/>
    </xf>
    <xf numFmtId="168" fontId="8" fillId="0" borderId="0" xfId="2" applyNumberFormat="1" applyFont="1" applyBorder="1" applyAlignment="1">
      <alignment vertical="center" wrapText="1"/>
    </xf>
    <xf numFmtId="168" fontId="9" fillId="0" borderId="0" xfId="2" applyNumberFormat="1" applyFont="1" applyBorder="1" applyAlignment="1">
      <alignment vertical="center"/>
    </xf>
    <xf numFmtId="0" fontId="8" fillId="0" borderId="0" xfId="0" applyFont="1" applyAlignment="1">
      <alignment vertical="center" wrapText="1"/>
    </xf>
    <xf numFmtId="168" fontId="10" fillId="0" borderId="0" xfId="2" applyNumberFormat="1" applyFont="1" applyFill="1" applyBorder="1" applyAlignment="1">
      <alignment vertical="center"/>
    </xf>
    <xf numFmtId="166" fontId="10" fillId="0" borderId="0" xfId="2" applyNumberFormat="1" applyFont="1" applyBorder="1" applyAlignment="1">
      <alignment vertical="center"/>
    </xf>
    <xf numFmtId="0" fontId="10" fillId="0" borderId="0" xfId="0" applyFont="1" applyAlignment="1">
      <alignment vertical="center"/>
    </xf>
    <xf numFmtId="168" fontId="10" fillId="0" borderId="0" xfId="2" applyNumberFormat="1" applyFont="1" applyBorder="1" applyAlignment="1">
      <alignment horizontal="right" vertical="center"/>
    </xf>
    <xf numFmtId="168" fontId="8" fillId="0" borderId="2" xfId="2" applyNumberFormat="1" applyFont="1" applyBorder="1" applyAlignment="1">
      <alignment vertical="center"/>
    </xf>
    <xf numFmtId="168" fontId="10" fillId="2" borderId="2" xfId="2" applyNumberFormat="1" applyFont="1" applyFill="1" applyBorder="1" applyAlignment="1">
      <alignment horizontal="center" vertical="center" wrapText="1"/>
    </xf>
    <xf numFmtId="168" fontId="39" fillId="0" borderId="2" xfId="2" applyNumberFormat="1" applyFont="1" applyBorder="1" applyAlignment="1">
      <alignment vertical="center"/>
    </xf>
    <xf numFmtId="168" fontId="10" fillId="0" borderId="28" xfId="2" applyNumberFormat="1" applyFont="1" applyBorder="1" applyAlignment="1">
      <alignment vertical="center"/>
    </xf>
    <xf numFmtId="168" fontId="10" fillId="27" borderId="28" xfId="2" applyNumberFormat="1" applyFont="1" applyFill="1" applyBorder="1" applyAlignment="1">
      <alignment vertical="center"/>
    </xf>
    <xf numFmtId="37" fontId="10" fillId="0" borderId="28" xfId="2" applyNumberFormat="1" applyFont="1" applyBorder="1" applyAlignment="1">
      <alignment vertical="center"/>
    </xf>
    <xf numFmtId="166" fontId="10" fillId="0" borderId="28" xfId="2" applyNumberFormat="1" applyFont="1" applyBorder="1" applyAlignment="1">
      <alignment vertical="center"/>
    </xf>
    <xf numFmtId="0" fontId="8" fillId="0" borderId="0" xfId="294" applyFont="1" applyAlignment="1">
      <alignment vertical="center"/>
    </xf>
    <xf numFmtId="0" fontId="10" fillId="2" borderId="2" xfId="294" applyFont="1" applyFill="1" applyBorder="1" applyAlignment="1">
      <alignment horizontal="center" vertical="center" wrapText="1"/>
    </xf>
    <xf numFmtId="0" fontId="8" fillId="0" borderId="2" xfId="294" applyFont="1" applyBorder="1" applyAlignment="1">
      <alignment vertical="center"/>
    </xf>
    <xf numFmtId="166" fontId="8" fillId="0" borderId="2" xfId="0" applyNumberFormat="1" applyFont="1" applyBorder="1" applyAlignment="1">
      <alignment vertical="center"/>
    </xf>
    <xf numFmtId="166" fontId="8" fillId="0" borderId="0" xfId="295" applyNumberFormat="1" applyFont="1" applyAlignment="1">
      <alignment vertical="center"/>
    </xf>
    <xf numFmtId="166" fontId="8" fillId="0" borderId="0" xfId="295" applyNumberFormat="1" applyFont="1" applyBorder="1" applyAlignment="1">
      <alignment vertical="center"/>
    </xf>
    <xf numFmtId="166" fontId="10" fillId="0" borderId="0" xfId="295" applyNumberFormat="1" applyFont="1" applyBorder="1" applyAlignment="1">
      <alignment vertical="center"/>
    </xf>
    <xf numFmtId="166" fontId="8" fillId="0" borderId="0" xfId="2" applyNumberFormat="1" applyFont="1" applyAlignment="1">
      <alignment vertical="center"/>
    </xf>
    <xf numFmtId="166" fontId="8" fillId="0" borderId="0" xfId="294" applyNumberFormat="1" applyFont="1" applyAlignment="1">
      <alignment vertical="center"/>
    </xf>
    <xf numFmtId="165" fontId="8" fillId="0" borderId="0" xfId="1" applyNumberFormat="1" applyFont="1" applyAlignment="1">
      <alignment vertical="center"/>
    </xf>
    <xf numFmtId="0" fontId="10" fillId="0" borderId="0" xfId="294" applyFont="1" applyAlignment="1">
      <alignment horizontal="center" vertical="center"/>
    </xf>
    <xf numFmtId="0" fontId="55" fillId="0" borderId="0" xfId="294" applyFont="1" applyAlignment="1">
      <alignment vertical="center"/>
    </xf>
    <xf numFmtId="168" fontId="10" fillId="0" borderId="0" xfId="2" applyNumberFormat="1" applyFont="1" applyFill="1" applyAlignment="1">
      <alignment horizontal="left" vertical="center"/>
    </xf>
    <xf numFmtId="0" fontId="42" fillId="0" borderId="0" xfId="294" applyFont="1" applyAlignment="1">
      <alignment vertical="center"/>
    </xf>
    <xf numFmtId="5" fontId="8" fillId="0" borderId="2" xfId="0" applyNumberFormat="1" applyFont="1" applyBorder="1" applyAlignment="1">
      <alignment vertical="center"/>
    </xf>
    <xf numFmtId="5" fontId="8" fillId="0" borderId="2" xfId="295" applyNumberFormat="1" applyFont="1" applyBorder="1" applyAlignment="1">
      <alignment vertical="center"/>
    </xf>
    <xf numFmtId="0" fontId="10" fillId="0" borderId="0" xfId="294" applyFont="1" applyAlignment="1">
      <alignment horizontal="right" vertical="center"/>
    </xf>
    <xf numFmtId="5" fontId="10" fillId="0" borderId="28" xfId="295" applyNumberFormat="1" applyFont="1" applyBorder="1" applyAlignment="1">
      <alignment vertical="center"/>
    </xf>
    <xf numFmtId="166" fontId="10" fillId="0" borderId="28" xfId="295" applyNumberFormat="1" applyFont="1" applyBorder="1" applyAlignment="1">
      <alignment vertical="center"/>
    </xf>
    <xf numFmtId="0" fontId="52" fillId="2" borderId="2" xfId="294" applyFont="1" applyFill="1" applyBorder="1" applyAlignment="1">
      <alignment horizontal="center" vertical="center" wrapText="1"/>
    </xf>
    <xf numFmtId="0" fontId="39" fillId="0" borderId="0" xfId="22" applyFont="1" applyAlignment="1">
      <alignment horizontal="center"/>
    </xf>
    <xf numFmtId="0" fontId="45" fillId="0" borderId="0" xfId="22" applyFont="1"/>
    <xf numFmtId="0" fontId="38" fillId="0" borderId="0" xfId="22" applyFont="1" applyAlignment="1">
      <alignment horizontal="center"/>
    </xf>
    <xf numFmtId="2" fontId="39" fillId="0" borderId="0" xfId="22" applyNumberFormat="1" applyFont="1" applyAlignment="1">
      <alignment horizontal="center"/>
    </xf>
    <xf numFmtId="0" fontId="62" fillId="0" borderId="0" xfId="22" applyFont="1"/>
    <xf numFmtId="49" fontId="58" fillId="0" borderId="0" xfId="22" applyNumberFormat="1" applyFont="1"/>
    <xf numFmtId="0" fontId="52" fillId="2" borderId="2" xfId="22" applyFont="1" applyFill="1" applyBorder="1" applyAlignment="1">
      <alignment horizontal="center" vertical="center" wrapText="1"/>
    </xf>
    <xf numFmtId="5" fontId="10" fillId="0" borderId="5" xfId="295" applyNumberFormat="1" applyFont="1" applyBorder="1" applyAlignment="1">
      <alignment vertical="center"/>
    </xf>
    <xf numFmtId="43" fontId="8" fillId="0" borderId="2" xfId="2" applyFont="1" applyBorder="1" applyAlignment="1">
      <alignment vertical="center"/>
    </xf>
    <xf numFmtId="167" fontId="38" fillId="0" borderId="0" xfId="3" applyNumberFormat="1" applyFont="1" applyFill="1" applyBorder="1" applyAlignment="1">
      <alignment vertical="center"/>
    </xf>
    <xf numFmtId="0" fontId="0" fillId="0" borderId="2" xfId="0" applyBorder="1" applyAlignment="1">
      <alignment horizontal="left" vertical="center"/>
    </xf>
    <xf numFmtId="43" fontId="0" fillId="0" borderId="2" xfId="0" applyNumberFormat="1" applyBorder="1" applyAlignment="1">
      <alignment vertical="center"/>
    </xf>
    <xf numFmtId="165" fontId="0" fillId="0" borderId="2" xfId="0" applyNumberFormat="1" applyBorder="1" applyAlignment="1">
      <alignment vertical="center"/>
    </xf>
    <xf numFmtId="5" fontId="0" fillId="0" borderId="2" xfId="0" applyNumberFormat="1" applyBorder="1" applyAlignment="1">
      <alignment vertical="center"/>
    </xf>
    <xf numFmtId="164" fontId="10" fillId="0" borderId="0" xfId="0" applyNumberFormat="1" applyFont="1" applyAlignment="1">
      <alignment vertical="center"/>
    </xf>
    <xf numFmtId="10" fontId="0" fillId="0" borderId="0" xfId="1" applyNumberFormat="1" applyFont="1" applyAlignment="1">
      <alignment vertical="center"/>
    </xf>
    <xf numFmtId="43" fontId="0" fillId="0" borderId="0" xfId="2" applyFont="1" applyAlignment="1">
      <alignment vertical="center"/>
    </xf>
    <xf numFmtId="0" fontId="42" fillId="0" borderId="0" xfId="0" applyFont="1" applyAlignment="1">
      <alignment vertical="center"/>
    </xf>
    <xf numFmtId="5" fontId="10" fillId="0" borderId="2" xfId="0" applyNumberFormat="1" applyFont="1" applyBorder="1" applyAlignment="1">
      <alignment vertical="center"/>
    </xf>
    <xf numFmtId="4" fontId="10" fillId="0" borderId="28" xfId="0" applyNumberFormat="1" applyFont="1" applyBorder="1" applyAlignment="1">
      <alignment vertical="center"/>
    </xf>
    <xf numFmtId="165" fontId="10" fillId="0" borderId="28" xfId="0" applyNumberFormat="1" applyFont="1" applyBorder="1" applyAlignment="1">
      <alignment vertical="center"/>
    </xf>
    <xf numFmtId="166" fontId="51" fillId="0" borderId="0" xfId="2" applyNumberFormat="1" applyFont="1" applyFill="1" applyBorder="1" applyAlignment="1">
      <alignment vertical="center"/>
    </xf>
    <xf numFmtId="37" fontId="51" fillId="0" borderId="0" xfId="0" applyNumberFormat="1" applyFont="1" applyAlignment="1">
      <alignment vertical="center"/>
    </xf>
    <xf numFmtId="0" fontId="0" fillId="0" borderId="0" xfId="0" applyAlignment="1">
      <alignment vertical="center" wrapText="1"/>
    </xf>
    <xf numFmtId="166" fontId="0" fillId="0" borderId="0" xfId="2" applyNumberFormat="1" applyFont="1" applyBorder="1" applyAlignment="1">
      <alignment vertical="center"/>
    </xf>
    <xf numFmtId="166" fontId="0" fillId="0" borderId="0" xfId="0" applyNumberFormat="1" applyAlignment="1">
      <alignment vertical="center"/>
    </xf>
    <xf numFmtId="49" fontId="10" fillId="0" borderId="0" xfId="0" applyNumberFormat="1" applyFont="1" applyAlignment="1">
      <alignment vertical="center"/>
    </xf>
    <xf numFmtId="49" fontId="52" fillId="0" borderId="0" xfId="0" applyNumberFormat="1" applyFont="1" applyAlignment="1">
      <alignment vertical="center"/>
    </xf>
    <xf numFmtId="166" fontId="64" fillId="32" borderId="0" xfId="2" applyNumberFormat="1" applyFont="1" applyFill="1" applyBorder="1" applyAlignment="1">
      <alignment horizontal="center" vertical="center" wrapText="1"/>
    </xf>
    <xf numFmtId="0" fontId="63" fillId="32" borderId="0" xfId="0" applyFont="1" applyFill="1" applyAlignment="1">
      <alignment vertical="center"/>
    </xf>
    <xf numFmtId="0" fontId="64" fillId="32" borderId="0" xfId="6" applyFont="1" applyFill="1" applyAlignment="1">
      <alignment horizontal="center" vertical="center" wrapText="1"/>
    </xf>
    <xf numFmtId="166" fontId="63" fillId="32" borderId="0" xfId="2" applyNumberFormat="1" applyFont="1" applyFill="1" applyBorder="1" applyAlignment="1">
      <alignment vertical="center"/>
    </xf>
    <xf numFmtId="10" fontId="63" fillId="32" borderId="0" xfId="1" applyNumberFormat="1" applyFont="1" applyFill="1" applyBorder="1" applyAlignment="1">
      <alignment vertical="center"/>
    </xf>
    <xf numFmtId="3" fontId="63" fillId="32" borderId="0" xfId="0" applyNumberFormat="1" applyFont="1" applyFill="1" applyAlignment="1">
      <alignment vertical="center"/>
    </xf>
    <xf numFmtId="166" fontId="64" fillId="32" borderId="0" xfId="2" applyNumberFormat="1" applyFont="1" applyFill="1" applyBorder="1" applyAlignment="1">
      <alignment vertical="center"/>
    </xf>
    <xf numFmtId="10" fontId="64" fillId="32" borderId="0" xfId="1" applyNumberFormat="1" applyFont="1" applyFill="1" applyBorder="1" applyAlignment="1">
      <alignment vertical="center"/>
    </xf>
    <xf numFmtId="166" fontId="38" fillId="0" borderId="0" xfId="0" applyNumberFormat="1" applyFont="1" applyAlignment="1">
      <alignment vertical="center"/>
    </xf>
    <xf numFmtId="166" fontId="39" fillId="0" borderId="0" xfId="0" applyNumberFormat="1" applyFont="1" applyAlignment="1">
      <alignment vertical="center"/>
    </xf>
    <xf numFmtId="166" fontId="0" fillId="0" borderId="2" xfId="292" applyNumberFormat="1" applyFont="1" applyBorder="1" applyAlignment="1">
      <alignment vertical="center"/>
    </xf>
    <xf numFmtId="10" fontId="10" fillId="0" borderId="28" xfId="1" applyNumberFormat="1" applyFont="1" applyBorder="1" applyAlignment="1">
      <alignment vertical="center"/>
    </xf>
    <xf numFmtId="0" fontId="55" fillId="0" borderId="0" xfId="0" applyFont="1" applyAlignment="1">
      <alignment vertical="center"/>
    </xf>
    <xf numFmtId="166" fontId="0" fillId="0" borderId="2" xfId="2" applyNumberFormat="1" applyFont="1" applyFill="1" applyBorder="1" applyAlignment="1">
      <alignment horizontal="right" vertical="center"/>
    </xf>
    <xf numFmtId="166" fontId="10" fillId="0" borderId="2" xfId="2" applyNumberFormat="1" applyFont="1" applyFill="1" applyBorder="1" applyAlignment="1">
      <alignment horizontal="right" vertical="center"/>
    </xf>
    <xf numFmtId="5" fontId="0" fillId="0" borderId="2" xfId="292" applyNumberFormat="1" applyFont="1" applyBorder="1" applyAlignment="1">
      <alignment vertical="center"/>
    </xf>
    <xf numFmtId="5" fontId="0" fillId="0" borderId="2" xfId="2" applyNumberFormat="1" applyFont="1" applyFill="1" applyBorder="1" applyAlignment="1">
      <alignment vertical="center"/>
    </xf>
    <xf numFmtId="5" fontId="10" fillId="0" borderId="28" xfId="292" applyNumberFormat="1" applyFont="1" applyBorder="1" applyAlignment="1">
      <alignment vertical="center"/>
    </xf>
    <xf numFmtId="5" fontId="10" fillId="0" borderId="28" xfId="2" applyNumberFormat="1" applyFont="1" applyBorder="1" applyAlignment="1">
      <alignment vertical="center"/>
    </xf>
    <xf numFmtId="164" fontId="0" fillId="0" borderId="2" xfId="0" applyNumberFormat="1" applyBorder="1" applyAlignment="1">
      <alignment horizontal="center" vertical="center"/>
    </xf>
    <xf numFmtId="2" fontId="0" fillId="0" borderId="0" xfId="0" applyNumberFormat="1" applyAlignment="1">
      <alignment vertical="center"/>
    </xf>
    <xf numFmtId="1" fontId="10" fillId="0" borderId="0" xfId="0" applyNumberFormat="1" applyFont="1" applyAlignment="1">
      <alignment horizontal="center" vertical="center"/>
    </xf>
    <xf numFmtId="2" fontId="0" fillId="0" borderId="2" xfId="0" applyNumberFormat="1" applyBorder="1" applyAlignment="1">
      <alignment vertical="center"/>
    </xf>
    <xf numFmtId="2" fontId="10" fillId="0" borderId="28" xfId="0" applyNumberFormat="1" applyFont="1" applyBorder="1" applyAlignment="1">
      <alignment vertical="center"/>
    </xf>
    <xf numFmtId="1" fontId="0" fillId="0" borderId="2" xfId="2" applyNumberFormat="1" applyFont="1" applyBorder="1" applyAlignment="1">
      <alignment horizontal="center" vertical="center"/>
    </xf>
    <xf numFmtId="2" fontId="10" fillId="40" borderId="2" xfId="0" applyNumberFormat="1" applyFont="1" applyFill="1" applyBorder="1" applyAlignment="1">
      <alignment horizontal="center" vertical="center" wrapText="1"/>
    </xf>
    <xf numFmtId="3" fontId="10" fillId="40" borderId="2" xfId="0" applyNumberFormat="1" applyFont="1" applyFill="1" applyBorder="1" applyAlignment="1">
      <alignment horizontal="center" vertical="center" wrapText="1"/>
    </xf>
    <xf numFmtId="43" fontId="10" fillId="2" borderId="2" xfId="0" applyNumberFormat="1" applyFont="1" applyFill="1" applyBorder="1" applyAlignment="1">
      <alignment horizontal="center" vertical="center" wrapText="1"/>
    </xf>
    <xf numFmtId="0" fontId="10" fillId="40" borderId="2" xfId="0" applyFont="1" applyFill="1" applyBorder="1" applyAlignment="1">
      <alignment horizontal="center" vertical="center" wrapText="1"/>
    </xf>
    <xf numFmtId="0" fontId="8" fillId="0" borderId="0" xfId="299" applyFont="1" applyAlignment="1">
      <alignment vertical="center"/>
    </xf>
    <xf numFmtId="0" fontId="66" fillId="0" borderId="0" xfId="299" applyFont="1" applyAlignment="1">
      <alignment vertical="center"/>
    </xf>
    <xf numFmtId="0" fontId="10" fillId="0" borderId="0" xfId="299" applyFont="1" applyAlignment="1">
      <alignment horizontal="left" vertical="center"/>
    </xf>
    <xf numFmtId="0" fontId="10" fillId="2" borderId="2" xfId="299" applyFont="1" applyFill="1" applyBorder="1" applyAlignment="1">
      <alignment horizontal="center" vertical="center" wrapText="1"/>
    </xf>
    <xf numFmtId="167" fontId="8" fillId="0" borderId="2" xfId="299" applyNumberFormat="1" applyFont="1" applyBorder="1" applyAlignment="1">
      <alignment vertical="center"/>
    </xf>
    <xf numFmtId="166" fontId="66" fillId="0" borderId="0" xfId="2" applyNumberFormat="1" applyFont="1" applyAlignment="1">
      <alignment vertical="center"/>
    </xf>
    <xf numFmtId="43" fontId="8" fillId="0" borderId="0" xfId="299" applyNumberFormat="1" applyFont="1" applyAlignment="1">
      <alignment vertical="center"/>
    </xf>
    <xf numFmtId="166" fontId="8" fillId="0" borderId="0" xfId="299" applyNumberFormat="1" applyFont="1" applyAlignment="1">
      <alignment vertical="center"/>
    </xf>
    <xf numFmtId="166" fontId="66" fillId="0" borderId="0" xfId="299" applyNumberFormat="1" applyFont="1" applyAlignment="1">
      <alignment vertical="center"/>
    </xf>
    <xf numFmtId="0" fontId="10" fillId="0" borderId="0" xfId="299" applyFont="1" applyAlignment="1">
      <alignment horizontal="center" vertical="center" wrapText="1"/>
    </xf>
    <xf numFmtId="167" fontId="8" fillId="0" borderId="0" xfId="299" applyNumberFormat="1" applyFont="1" applyAlignment="1">
      <alignment vertical="center"/>
    </xf>
    <xf numFmtId="0" fontId="55" fillId="0" borderId="0" xfId="299" applyFont="1" applyAlignment="1">
      <alignment vertical="center"/>
    </xf>
    <xf numFmtId="49" fontId="42" fillId="0" borderId="0" xfId="2" applyNumberFormat="1" applyFont="1" applyFill="1" applyAlignment="1">
      <alignment horizontal="left" vertical="center"/>
    </xf>
    <xf numFmtId="37" fontId="8" fillId="0" borderId="2" xfId="2" applyNumberFormat="1" applyFont="1" applyBorder="1" applyAlignment="1">
      <alignment horizontal="center" vertical="center"/>
    </xf>
    <xf numFmtId="166" fontId="10" fillId="0" borderId="2" xfId="2" applyNumberFormat="1" applyFont="1" applyBorder="1" applyAlignment="1">
      <alignment vertical="center"/>
    </xf>
    <xf numFmtId="168" fontId="10" fillId="0" borderId="0" xfId="2" applyNumberFormat="1" applyFont="1" applyFill="1" applyAlignment="1">
      <alignment horizontal="center" vertical="center"/>
    </xf>
    <xf numFmtId="0" fontId="10" fillId="0" borderId="0" xfId="299" applyFont="1" applyAlignment="1">
      <alignment horizontal="center" vertical="center"/>
    </xf>
    <xf numFmtId="0" fontId="8" fillId="0" borderId="2" xfId="299" applyFont="1" applyBorder="1" applyAlignment="1">
      <alignment horizontal="center" vertical="center"/>
    </xf>
    <xf numFmtId="0" fontId="8" fillId="0" borderId="0" xfId="299" applyFont="1" applyAlignment="1">
      <alignment horizontal="center" vertical="center"/>
    </xf>
    <xf numFmtId="0" fontId="10" fillId="0" borderId="0" xfId="299" applyFont="1" applyAlignment="1">
      <alignment vertical="center"/>
    </xf>
    <xf numFmtId="0" fontId="10" fillId="0" borderId="0" xfId="299" applyFont="1" applyAlignment="1">
      <alignment horizontal="right" vertical="center"/>
    </xf>
    <xf numFmtId="0" fontId="52" fillId="2" borderId="2" xfId="299" applyFont="1" applyFill="1" applyBorder="1" applyAlignment="1">
      <alignment horizontal="center" vertical="center" wrapText="1"/>
    </xf>
    <xf numFmtId="37" fontId="10" fillId="0" borderId="2" xfId="299" applyNumberFormat="1" applyFont="1" applyBorder="1" applyAlignment="1">
      <alignment vertical="center"/>
    </xf>
    <xf numFmtId="164" fontId="8" fillId="0" borderId="2" xfId="2" applyNumberFormat="1" applyFont="1" applyFill="1" applyBorder="1" applyAlignment="1">
      <alignment vertical="center"/>
    </xf>
    <xf numFmtId="164" fontId="10" fillId="0" borderId="2" xfId="2" applyNumberFormat="1" applyFont="1" applyFill="1" applyBorder="1" applyAlignment="1">
      <alignment vertical="center"/>
    </xf>
    <xf numFmtId="0" fontId="50" fillId="0" borderId="0" xfId="299" applyFont="1" applyAlignment="1">
      <alignment horizontal="center" vertical="center" wrapText="1"/>
    </xf>
    <xf numFmtId="166" fontId="10" fillId="0" borderId="5" xfId="0" applyNumberFormat="1" applyFont="1" applyBorder="1" applyAlignment="1">
      <alignment vertical="center"/>
    </xf>
    <xf numFmtId="1" fontId="0" fillId="0" borderId="0" xfId="0" applyNumberFormat="1" applyAlignment="1">
      <alignment vertical="center"/>
    </xf>
    <xf numFmtId="0" fontId="10" fillId="2" borderId="2" xfId="0" applyFont="1" applyFill="1" applyBorder="1" applyAlignment="1">
      <alignment horizontal="center" vertical="center"/>
    </xf>
    <xf numFmtId="168" fontId="61" fillId="0" borderId="0" xfId="2" applyNumberFormat="1" applyFont="1" applyBorder="1" applyAlignment="1">
      <alignment horizontal="center" vertical="center" wrapText="1"/>
    </xf>
    <xf numFmtId="168" fontId="67" fillId="0" borderId="0" xfId="2" applyNumberFormat="1" applyFont="1" applyBorder="1" applyAlignment="1">
      <alignment vertical="center" wrapText="1"/>
    </xf>
    <xf numFmtId="0" fontId="51" fillId="0" borderId="0" xfId="22" applyFont="1"/>
    <xf numFmtId="0" fontId="9" fillId="0" borderId="0" xfId="0" applyFont="1" applyAlignment="1">
      <alignment horizontal="left" vertical="center"/>
    </xf>
    <xf numFmtId="168" fontId="51" fillId="0" borderId="0" xfId="2" applyNumberFormat="1" applyFont="1" applyBorder="1" applyAlignment="1">
      <alignment vertical="center"/>
    </xf>
    <xf numFmtId="43" fontId="51" fillId="0" borderId="0" xfId="299" applyNumberFormat="1" applyFont="1" applyAlignment="1">
      <alignment vertical="center"/>
    </xf>
    <xf numFmtId="9" fontId="9" fillId="0" borderId="0" xfId="0" applyNumberFormat="1" applyFont="1" applyAlignment="1">
      <alignment vertical="center"/>
    </xf>
    <xf numFmtId="164" fontId="9" fillId="0" borderId="0" xfId="0" applyNumberFormat="1" applyFont="1" applyAlignment="1">
      <alignment vertical="center"/>
    </xf>
    <xf numFmtId="0" fontId="9" fillId="0" borderId="0" xfId="0" applyFont="1" applyAlignment="1">
      <alignment horizontal="center" vertical="center"/>
    </xf>
    <xf numFmtId="37" fontId="9" fillId="0" borderId="0" xfId="0" applyNumberFormat="1" applyFont="1" applyAlignment="1">
      <alignment vertical="center"/>
    </xf>
    <xf numFmtId="166" fontId="9" fillId="0" borderId="0" xfId="2" applyNumberFormat="1" applyFont="1" applyFill="1" applyBorder="1" applyAlignment="1">
      <alignment vertical="center"/>
    </xf>
    <xf numFmtId="0" fontId="74" fillId="0" borderId="0" xfId="0" applyFont="1" applyAlignment="1">
      <alignment vertical="center"/>
    </xf>
    <xf numFmtId="0" fontId="68" fillId="0" borderId="0" xfId="0" applyFont="1" applyAlignment="1">
      <alignment vertical="center"/>
    </xf>
    <xf numFmtId="166" fontId="0" fillId="0" borderId="2" xfId="2" applyNumberFormat="1" applyFont="1" applyBorder="1" applyAlignment="1">
      <alignment vertical="center"/>
    </xf>
    <xf numFmtId="0" fontId="10" fillId="39" borderId="7" xfId="0" applyFont="1" applyFill="1" applyBorder="1" applyAlignment="1">
      <alignment horizontal="center" vertical="center" wrapText="1"/>
    </xf>
    <xf numFmtId="41" fontId="0" fillId="0" borderId="2" xfId="2" applyNumberFormat="1" applyFont="1" applyFill="1" applyBorder="1" applyAlignment="1">
      <alignment vertical="center"/>
    </xf>
    <xf numFmtId="164" fontId="0" fillId="0" borderId="0" xfId="2" applyNumberFormat="1" applyFont="1" applyFill="1" applyBorder="1" applyAlignment="1">
      <alignment vertical="center"/>
    </xf>
    <xf numFmtId="0" fontId="0" fillId="0" borderId="2" xfId="0" applyBorder="1" applyAlignment="1">
      <alignment horizontal="center"/>
    </xf>
    <xf numFmtId="0" fontId="0" fillId="0" borderId="0" xfId="0" applyAlignment="1">
      <alignment horizontal="center"/>
    </xf>
    <xf numFmtId="166" fontId="0" fillId="0" borderId="2" xfId="0" applyNumberFormat="1" applyBorder="1"/>
    <xf numFmtId="166" fontId="10" fillId="0" borderId="28" xfId="2" applyNumberFormat="1" applyFont="1" applyBorder="1"/>
    <xf numFmtId="0" fontId="50" fillId="35" borderId="2" xfId="2" applyNumberFormat="1" applyFont="1" applyFill="1" applyBorder="1" applyAlignment="1">
      <alignment horizontal="center" vertical="center" wrapText="1"/>
    </xf>
    <xf numFmtId="2" fontId="0" fillId="0" borderId="0" xfId="0" applyNumberFormat="1"/>
    <xf numFmtId="2" fontId="0" fillId="0" borderId="0" xfId="0" applyNumberFormat="1" applyAlignment="1">
      <alignment horizontal="left" vertical="top"/>
    </xf>
    <xf numFmtId="0" fontId="0" fillId="0" borderId="0" xfId="0" applyAlignment="1">
      <alignment horizontal="left" vertical="top"/>
    </xf>
    <xf numFmtId="4" fontId="0" fillId="0" borderId="0" xfId="0" applyNumberFormat="1"/>
    <xf numFmtId="43" fontId="42" fillId="0" borderId="0" xfId="0" applyNumberFormat="1" applyFont="1" applyAlignment="1">
      <alignment horizontal="left" vertical="top"/>
    </xf>
    <xf numFmtId="2" fontId="39" fillId="0" borderId="2" xfId="0" applyNumberFormat="1" applyFont="1" applyBorder="1"/>
    <xf numFmtId="5" fontId="8" fillId="0" borderId="0" xfId="0" applyNumberFormat="1" applyFont="1" applyAlignment="1">
      <alignment vertical="center"/>
    </xf>
    <xf numFmtId="0" fontId="76" fillId="0" borderId="0" xfId="0" applyFont="1" applyAlignment="1">
      <alignment vertical="center"/>
    </xf>
    <xf numFmtId="0" fontId="9" fillId="0" borderId="0" xfId="0" applyFont="1" applyAlignment="1">
      <alignment vertical="center" wrapText="1"/>
    </xf>
    <xf numFmtId="0" fontId="39" fillId="0" borderId="0" xfId="22" applyFont="1" applyAlignment="1">
      <alignment horizontal="left"/>
    </xf>
    <xf numFmtId="0" fontId="0" fillId="0" borderId="2" xfId="0" applyBorder="1" applyAlignment="1">
      <alignment horizontal="left"/>
    </xf>
    <xf numFmtId="165" fontId="39" fillId="0" borderId="2" xfId="0" applyNumberFormat="1" applyFont="1" applyBorder="1"/>
    <xf numFmtId="43" fontId="0" fillId="0" borderId="2" xfId="2" applyFont="1" applyBorder="1" applyAlignment="1">
      <alignment vertical="center"/>
    </xf>
    <xf numFmtId="166" fontId="0" fillId="0" borderId="2" xfId="0" applyNumberFormat="1" applyBorder="1" applyAlignment="1">
      <alignment vertical="center"/>
    </xf>
    <xf numFmtId="0" fontId="61" fillId="0" borderId="0" xfId="0" applyFont="1" applyAlignment="1">
      <alignment horizontal="left" vertical="center" wrapText="1"/>
    </xf>
    <xf numFmtId="0" fontId="50" fillId="36"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2" xfId="0" applyFont="1" applyFill="1" applyBorder="1" applyAlignment="1">
      <alignment horizontal="center" vertical="center"/>
    </xf>
    <xf numFmtId="0" fontId="10" fillId="33" borderId="2" xfId="0" applyFont="1" applyFill="1" applyBorder="1" applyAlignment="1">
      <alignment horizontal="center" vertical="center" wrapText="1"/>
    </xf>
    <xf numFmtId="0" fontId="10" fillId="26" borderId="7" xfId="0" applyFont="1" applyFill="1" applyBorder="1" applyAlignment="1">
      <alignment horizontal="center" vertical="center"/>
    </xf>
    <xf numFmtId="0" fontId="10" fillId="26" borderId="3" xfId="0" applyFont="1" applyFill="1" applyBorder="1" applyAlignment="1">
      <alignment horizontal="center" vertical="center"/>
    </xf>
    <xf numFmtId="0" fontId="10" fillId="33" borderId="4" xfId="0" applyFont="1" applyFill="1" applyBorder="1" applyAlignment="1">
      <alignment horizontal="center" vertical="center" wrapText="1"/>
    </xf>
    <xf numFmtId="0" fontId="10" fillId="33" borderId="5" xfId="0" applyFont="1" applyFill="1" applyBorder="1" applyAlignment="1">
      <alignment horizontal="center" vertical="center" wrapText="1"/>
    </xf>
    <xf numFmtId="0" fontId="10" fillId="33" borderId="6" xfId="0" applyFont="1" applyFill="1" applyBorder="1" applyAlignment="1">
      <alignment horizontal="center" vertical="center" wrapText="1"/>
    </xf>
    <xf numFmtId="0" fontId="50" fillId="38" borderId="2" xfId="0" applyFont="1" applyFill="1" applyBorder="1" applyAlignment="1">
      <alignment horizontal="center" vertical="center" wrapText="1"/>
    </xf>
    <xf numFmtId="0" fontId="10" fillId="34" borderId="2" xfId="0" applyFont="1" applyFill="1" applyBorder="1" applyAlignment="1">
      <alignment horizontal="center" vertical="center" wrapText="1"/>
    </xf>
    <xf numFmtId="0" fontId="45" fillId="26" borderId="7" xfId="22" applyFont="1" applyFill="1" applyBorder="1" applyAlignment="1">
      <alignment horizontal="center" vertical="center"/>
    </xf>
    <xf numFmtId="0" fontId="45" fillId="26" borderId="3" xfId="22" applyFont="1" applyFill="1" applyBorder="1" applyAlignment="1">
      <alignment horizontal="center" vertical="center"/>
    </xf>
    <xf numFmtId="0" fontId="44" fillId="26" borderId="7" xfId="22" applyFont="1" applyFill="1" applyBorder="1" applyAlignment="1">
      <alignment horizontal="center" vertical="center" wrapText="1"/>
    </xf>
    <xf numFmtId="0" fontId="44" fillId="26" borderId="3" xfId="22" applyFont="1" applyFill="1" applyBorder="1" applyAlignment="1">
      <alignment horizontal="center" vertical="center" wrapText="1"/>
    </xf>
    <xf numFmtId="166" fontId="50" fillId="35" borderId="4" xfId="2" applyNumberFormat="1" applyFont="1" applyFill="1" applyBorder="1" applyAlignment="1">
      <alignment horizontal="center" vertical="center" wrapText="1"/>
    </xf>
    <xf numFmtId="166" fontId="50" fillId="35" borderId="5" xfId="2" applyNumberFormat="1" applyFont="1" applyFill="1" applyBorder="1" applyAlignment="1">
      <alignment horizontal="center" vertical="center" wrapText="1"/>
    </xf>
    <xf numFmtId="166" fontId="50" fillId="35" borderId="2" xfId="2" applyNumberFormat="1" applyFont="1" applyFill="1" applyBorder="1" applyAlignment="1">
      <alignment horizontal="center" vertical="center" wrapText="1"/>
    </xf>
    <xf numFmtId="0" fontId="10" fillId="26" borderId="2" xfId="0" applyFont="1" applyFill="1" applyBorder="1" applyAlignment="1">
      <alignment horizontal="center" vertical="center"/>
    </xf>
    <xf numFmtId="0" fontId="10" fillId="0" borderId="0" xfId="294" applyFont="1" applyAlignment="1">
      <alignment horizontal="right" vertical="center"/>
    </xf>
    <xf numFmtId="0" fontId="10" fillId="26" borderId="7" xfId="294" applyFont="1" applyFill="1" applyBorder="1" applyAlignment="1">
      <alignment horizontal="center" vertical="center" wrapText="1"/>
    </xf>
    <xf numFmtId="0" fontId="10" fillId="26" borderId="3" xfId="294" applyFont="1" applyFill="1" applyBorder="1" applyAlignment="1">
      <alignment horizontal="center" vertical="center" wrapText="1"/>
    </xf>
    <xf numFmtId="0" fontId="55" fillId="0" borderId="0" xfId="294" applyFont="1" applyAlignment="1">
      <alignment horizontal="left" vertical="center" wrapText="1"/>
    </xf>
    <xf numFmtId="0" fontId="10" fillId="26" borderId="7" xfId="299" applyFont="1" applyFill="1" applyBorder="1" applyAlignment="1">
      <alignment horizontal="center" vertical="center" wrapText="1"/>
    </xf>
    <xf numFmtId="0" fontId="10" fillId="26" borderId="3" xfId="299" applyFont="1" applyFill="1" applyBorder="1" applyAlignment="1">
      <alignment horizontal="center" vertical="center" wrapText="1"/>
    </xf>
    <xf numFmtId="0" fontId="10" fillId="34" borderId="4" xfId="0" applyFont="1" applyFill="1" applyBorder="1" applyAlignment="1">
      <alignment horizontal="center" vertical="center" wrapText="1"/>
    </xf>
    <xf numFmtId="0" fontId="10" fillId="34" borderId="6" xfId="0" applyFont="1" applyFill="1" applyBorder="1" applyAlignment="1">
      <alignment horizontal="center" vertical="center" wrapText="1"/>
    </xf>
    <xf numFmtId="0" fontId="10" fillId="26" borderId="7" xfId="0" applyFont="1" applyFill="1" applyBorder="1" applyAlignment="1">
      <alignment horizontal="center" vertical="center" wrapText="1"/>
    </xf>
    <xf numFmtId="0" fontId="10" fillId="26" borderId="3" xfId="0" applyFont="1" applyFill="1" applyBorder="1" applyAlignment="1">
      <alignment horizontal="center" vertical="center" wrapText="1"/>
    </xf>
    <xf numFmtId="0" fontId="37" fillId="0" borderId="21" xfId="0" applyFont="1" applyBorder="1" applyAlignment="1">
      <alignment horizontal="center" vertical="center"/>
    </xf>
    <xf numFmtId="3" fontId="37" fillId="0" borderId="25" xfId="0" applyNumberFormat="1" applyFont="1" applyBorder="1" applyAlignment="1">
      <alignment horizontal="center" vertical="center"/>
    </xf>
    <xf numFmtId="0" fontId="37" fillId="0" borderId="22" xfId="0" applyFont="1" applyBorder="1" applyAlignment="1">
      <alignment horizontal="center" vertical="center"/>
    </xf>
    <xf numFmtId="3" fontId="37" fillId="0" borderId="26" xfId="0" applyNumberFormat="1" applyFont="1" applyBorder="1" applyAlignment="1">
      <alignment horizontal="center" vertical="center"/>
    </xf>
    <xf numFmtId="164" fontId="37" fillId="0" borderId="25" xfId="0" applyNumberFormat="1" applyFont="1" applyBorder="1" applyAlignment="1">
      <alignment horizontal="center" vertical="center"/>
    </xf>
    <xf numFmtId="0" fontId="10" fillId="39" borderId="7" xfId="0" applyFont="1" applyFill="1" applyBorder="1" applyAlignment="1">
      <alignment horizontal="center" vertical="center" wrapText="1"/>
    </xf>
    <xf numFmtId="0" fontId="10" fillId="39" borderId="3" xfId="0" applyFont="1" applyFill="1" applyBorder="1" applyAlignment="1">
      <alignment horizontal="center" vertical="center" wrapText="1"/>
    </xf>
    <xf numFmtId="166" fontId="65" fillId="35" borderId="31" xfId="2" applyNumberFormat="1" applyFont="1" applyFill="1" applyBorder="1" applyAlignment="1">
      <alignment horizontal="center" vertical="center" wrapText="1"/>
    </xf>
    <xf numFmtId="166" fontId="65" fillId="35" borderId="29" xfId="2" applyNumberFormat="1" applyFont="1" applyFill="1" applyBorder="1" applyAlignment="1">
      <alignment horizontal="center" vertical="center" wrapText="1"/>
    </xf>
    <xf numFmtId="166" fontId="65" fillId="35" borderId="32" xfId="2" applyNumberFormat="1" applyFont="1" applyFill="1" applyBorder="1" applyAlignment="1">
      <alignment horizontal="center" vertical="center" wrapText="1"/>
    </xf>
    <xf numFmtId="166" fontId="65" fillId="35" borderId="30" xfId="2" applyNumberFormat="1" applyFont="1" applyFill="1" applyBorder="1" applyAlignment="1">
      <alignment horizontal="center" vertical="center" wrapText="1"/>
    </xf>
    <xf numFmtId="164" fontId="10" fillId="0" borderId="0" xfId="3" applyNumberFormat="1" applyFont="1" applyFill="1" applyBorder="1" applyAlignment="1">
      <alignment horizontal="center" vertical="center" wrapText="1"/>
    </xf>
    <xf numFmtId="0" fontId="10" fillId="26" borderId="2" xfId="291" applyFont="1" applyFill="1" applyBorder="1" applyAlignment="1">
      <alignment horizontal="center" vertical="center" wrapText="1"/>
    </xf>
    <xf numFmtId="10" fontId="10" fillId="26" borderId="2" xfId="1" applyNumberFormat="1" applyFont="1" applyFill="1" applyBorder="1" applyAlignment="1">
      <alignment horizontal="center" vertical="center" wrapText="1"/>
    </xf>
    <xf numFmtId="0" fontId="63" fillId="32" borderId="0" xfId="0" applyFont="1" applyFill="1" applyAlignment="1">
      <alignment horizontal="left" vertical="center" wrapText="1"/>
    </xf>
    <xf numFmtId="0" fontId="63" fillId="32" borderId="0" xfId="0" applyFont="1" applyFill="1" applyAlignment="1">
      <alignment horizontal="center" vertical="center"/>
    </xf>
  </cellXfs>
  <cellStyles count="330">
    <cellStyle name="%" xfId="283" xr:uid="{00000000-0005-0000-0000-000000000000}"/>
    <cellStyle name="20% - Accent1 2" xfId="48" xr:uid="{00000000-0005-0000-0000-000001000000}"/>
    <cellStyle name="20% - Accent1 3" xfId="49" xr:uid="{00000000-0005-0000-0000-000002000000}"/>
    <cellStyle name="20% - Accent1 4" xfId="50" xr:uid="{00000000-0005-0000-0000-000003000000}"/>
    <cellStyle name="20% - Accent1 5" xfId="51" xr:uid="{00000000-0005-0000-0000-000004000000}"/>
    <cellStyle name="20% - Accent1 6" xfId="52" xr:uid="{00000000-0005-0000-0000-000005000000}"/>
    <cellStyle name="20% - Accent1 7" xfId="329" xr:uid="{00000000-0005-0000-0000-000006000000}"/>
    <cellStyle name="20% - Accent2 2" xfId="53" xr:uid="{00000000-0005-0000-0000-000007000000}"/>
    <cellStyle name="20% - Accent2 3" xfId="54" xr:uid="{00000000-0005-0000-0000-000008000000}"/>
    <cellStyle name="20% - Accent2 4" xfId="55" xr:uid="{00000000-0005-0000-0000-000009000000}"/>
    <cellStyle name="20% - Accent2 5" xfId="56" xr:uid="{00000000-0005-0000-0000-00000A000000}"/>
    <cellStyle name="20% - Accent2 6" xfId="57" xr:uid="{00000000-0005-0000-0000-00000B000000}"/>
    <cellStyle name="20% - Accent3 2" xfId="58" xr:uid="{00000000-0005-0000-0000-00000C000000}"/>
    <cellStyle name="20% - Accent3 3" xfId="59" xr:uid="{00000000-0005-0000-0000-00000D000000}"/>
    <cellStyle name="20% - Accent3 4" xfId="60" xr:uid="{00000000-0005-0000-0000-00000E000000}"/>
    <cellStyle name="20% - Accent3 5" xfId="61" xr:uid="{00000000-0005-0000-0000-00000F000000}"/>
    <cellStyle name="20% - Accent3 6" xfId="62" xr:uid="{00000000-0005-0000-0000-000010000000}"/>
    <cellStyle name="20% - Accent3 7" xfId="326" xr:uid="{00000000-0005-0000-0000-000011000000}"/>
    <cellStyle name="20% - Accent4 2" xfId="63" xr:uid="{00000000-0005-0000-0000-000012000000}"/>
    <cellStyle name="20% - Accent4 3" xfId="64" xr:uid="{00000000-0005-0000-0000-000013000000}"/>
    <cellStyle name="20% - Accent4 4" xfId="65" xr:uid="{00000000-0005-0000-0000-000014000000}"/>
    <cellStyle name="20% - Accent4 5" xfId="66" xr:uid="{00000000-0005-0000-0000-000015000000}"/>
    <cellStyle name="20% - Accent4 6" xfId="67" xr:uid="{00000000-0005-0000-0000-000016000000}"/>
    <cellStyle name="20% - Accent5 2" xfId="68" xr:uid="{00000000-0005-0000-0000-000017000000}"/>
    <cellStyle name="20% - Accent5 3" xfId="69" xr:uid="{00000000-0005-0000-0000-000018000000}"/>
    <cellStyle name="20% - Accent5 4" xfId="70" xr:uid="{00000000-0005-0000-0000-000019000000}"/>
    <cellStyle name="20% - Accent5 5" xfId="71" xr:uid="{00000000-0005-0000-0000-00001A000000}"/>
    <cellStyle name="20% - Accent5 6" xfId="72" xr:uid="{00000000-0005-0000-0000-00001B000000}"/>
    <cellStyle name="20% - Accent6 2" xfId="73" xr:uid="{00000000-0005-0000-0000-00001C000000}"/>
    <cellStyle name="20% - Accent6 3" xfId="74" xr:uid="{00000000-0005-0000-0000-00001D000000}"/>
    <cellStyle name="20% - Accent6 4" xfId="75" xr:uid="{00000000-0005-0000-0000-00001E000000}"/>
    <cellStyle name="20% - Accent6 5" xfId="76" xr:uid="{00000000-0005-0000-0000-00001F000000}"/>
    <cellStyle name="20% - Accent6 6" xfId="77" xr:uid="{00000000-0005-0000-0000-000020000000}"/>
    <cellStyle name="20% - Accent6 7" xfId="327" xr:uid="{00000000-0005-0000-0000-000021000000}"/>
    <cellStyle name="40% - Accent1 2" xfId="78" xr:uid="{00000000-0005-0000-0000-000022000000}"/>
    <cellStyle name="40% - Accent1 3" xfId="79" xr:uid="{00000000-0005-0000-0000-000023000000}"/>
    <cellStyle name="40% - Accent1 4" xfId="80" xr:uid="{00000000-0005-0000-0000-000024000000}"/>
    <cellStyle name="40% - Accent1 5" xfId="81" xr:uid="{00000000-0005-0000-0000-000025000000}"/>
    <cellStyle name="40% - Accent1 6" xfId="82" xr:uid="{00000000-0005-0000-0000-000026000000}"/>
    <cellStyle name="40% - Accent2 2" xfId="83" xr:uid="{00000000-0005-0000-0000-000027000000}"/>
    <cellStyle name="40% - Accent2 3" xfId="84" xr:uid="{00000000-0005-0000-0000-000028000000}"/>
    <cellStyle name="40% - Accent2 4" xfId="85" xr:uid="{00000000-0005-0000-0000-000029000000}"/>
    <cellStyle name="40% - Accent2 5" xfId="86" xr:uid="{00000000-0005-0000-0000-00002A000000}"/>
    <cellStyle name="40% - Accent2 6" xfId="87" xr:uid="{00000000-0005-0000-0000-00002B000000}"/>
    <cellStyle name="40% - Accent3 2" xfId="88" xr:uid="{00000000-0005-0000-0000-00002C000000}"/>
    <cellStyle name="40% - Accent3 3" xfId="89" xr:uid="{00000000-0005-0000-0000-00002D000000}"/>
    <cellStyle name="40% - Accent3 4" xfId="90" xr:uid="{00000000-0005-0000-0000-00002E000000}"/>
    <cellStyle name="40% - Accent3 5" xfId="91" xr:uid="{00000000-0005-0000-0000-00002F000000}"/>
    <cellStyle name="40% - Accent3 6" xfId="92" xr:uid="{00000000-0005-0000-0000-000030000000}"/>
    <cellStyle name="40% - Accent4 2" xfId="93" xr:uid="{00000000-0005-0000-0000-000031000000}"/>
    <cellStyle name="40% - Accent4 3" xfId="94" xr:uid="{00000000-0005-0000-0000-000032000000}"/>
    <cellStyle name="40% - Accent4 4" xfId="95" xr:uid="{00000000-0005-0000-0000-000033000000}"/>
    <cellStyle name="40% - Accent4 5" xfId="96" xr:uid="{00000000-0005-0000-0000-000034000000}"/>
    <cellStyle name="40% - Accent4 6" xfId="97" xr:uid="{00000000-0005-0000-0000-000035000000}"/>
    <cellStyle name="40% - Accent5 2" xfId="98" xr:uid="{00000000-0005-0000-0000-000036000000}"/>
    <cellStyle name="40% - Accent5 3" xfId="99" xr:uid="{00000000-0005-0000-0000-000037000000}"/>
    <cellStyle name="40% - Accent5 4" xfId="100" xr:uid="{00000000-0005-0000-0000-000038000000}"/>
    <cellStyle name="40% - Accent5 5" xfId="101" xr:uid="{00000000-0005-0000-0000-000039000000}"/>
    <cellStyle name="40% - Accent5 6" xfId="102" xr:uid="{00000000-0005-0000-0000-00003A000000}"/>
    <cellStyle name="40% - Accent6 2" xfId="103" xr:uid="{00000000-0005-0000-0000-00003B000000}"/>
    <cellStyle name="40% - Accent6 3" xfId="104" xr:uid="{00000000-0005-0000-0000-00003C000000}"/>
    <cellStyle name="40% - Accent6 4" xfId="105" xr:uid="{00000000-0005-0000-0000-00003D000000}"/>
    <cellStyle name="40% - Accent6 5" xfId="106" xr:uid="{00000000-0005-0000-0000-00003E000000}"/>
    <cellStyle name="40% - Accent6 6" xfId="107" xr:uid="{00000000-0005-0000-0000-00003F000000}"/>
    <cellStyle name="60% - Accent1 2" xfId="108" xr:uid="{00000000-0005-0000-0000-000040000000}"/>
    <cellStyle name="60% - Accent1 3" xfId="109" xr:uid="{00000000-0005-0000-0000-000041000000}"/>
    <cellStyle name="60% - Accent1 4" xfId="110" xr:uid="{00000000-0005-0000-0000-000042000000}"/>
    <cellStyle name="60% - Accent1 5" xfId="111" xr:uid="{00000000-0005-0000-0000-000043000000}"/>
    <cellStyle name="60% - Accent1 6" xfId="112" xr:uid="{00000000-0005-0000-0000-000044000000}"/>
    <cellStyle name="60% - Accent2 2" xfId="113" xr:uid="{00000000-0005-0000-0000-000045000000}"/>
    <cellStyle name="60% - Accent2 3" xfId="114" xr:uid="{00000000-0005-0000-0000-000046000000}"/>
    <cellStyle name="60% - Accent2 4" xfId="115" xr:uid="{00000000-0005-0000-0000-000047000000}"/>
    <cellStyle name="60% - Accent2 5" xfId="116" xr:uid="{00000000-0005-0000-0000-000048000000}"/>
    <cellStyle name="60% - Accent2 6" xfId="117" xr:uid="{00000000-0005-0000-0000-000049000000}"/>
    <cellStyle name="60% - Accent3 2" xfId="118" xr:uid="{00000000-0005-0000-0000-00004A000000}"/>
    <cellStyle name="60% - Accent3 3" xfId="119" xr:uid="{00000000-0005-0000-0000-00004B000000}"/>
    <cellStyle name="60% - Accent3 4" xfId="120" xr:uid="{00000000-0005-0000-0000-00004C000000}"/>
    <cellStyle name="60% - Accent3 5" xfId="121" xr:uid="{00000000-0005-0000-0000-00004D000000}"/>
    <cellStyle name="60% - Accent3 6" xfId="122" xr:uid="{00000000-0005-0000-0000-00004E000000}"/>
    <cellStyle name="60% - Accent4 2" xfId="123" xr:uid="{00000000-0005-0000-0000-00004F000000}"/>
    <cellStyle name="60% - Accent4 3" xfId="124" xr:uid="{00000000-0005-0000-0000-000050000000}"/>
    <cellStyle name="60% - Accent4 4" xfId="125" xr:uid="{00000000-0005-0000-0000-000051000000}"/>
    <cellStyle name="60% - Accent4 5" xfId="126" xr:uid="{00000000-0005-0000-0000-000052000000}"/>
    <cellStyle name="60% - Accent4 6" xfId="127" xr:uid="{00000000-0005-0000-0000-000053000000}"/>
    <cellStyle name="60% - Accent5 2" xfId="128" xr:uid="{00000000-0005-0000-0000-000054000000}"/>
    <cellStyle name="60% - Accent5 3" xfId="129" xr:uid="{00000000-0005-0000-0000-000055000000}"/>
    <cellStyle name="60% - Accent5 4" xfId="130" xr:uid="{00000000-0005-0000-0000-000056000000}"/>
    <cellStyle name="60% - Accent5 5" xfId="131" xr:uid="{00000000-0005-0000-0000-000057000000}"/>
    <cellStyle name="60% - Accent5 6" xfId="132" xr:uid="{00000000-0005-0000-0000-000058000000}"/>
    <cellStyle name="60% - Accent6 2" xfId="133" xr:uid="{00000000-0005-0000-0000-000059000000}"/>
    <cellStyle name="60% - Accent6 3" xfId="134" xr:uid="{00000000-0005-0000-0000-00005A000000}"/>
    <cellStyle name="60% - Accent6 4" xfId="135" xr:uid="{00000000-0005-0000-0000-00005B000000}"/>
    <cellStyle name="60% - Accent6 5" xfId="136" xr:uid="{00000000-0005-0000-0000-00005C000000}"/>
    <cellStyle name="60% - Accent6 6" xfId="137" xr:uid="{00000000-0005-0000-0000-00005D000000}"/>
    <cellStyle name="Accent1 2" xfId="138" xr:uid="{00000000-0005-0000-0000-00005E000000}"/>
    <cellStyle name="Accent1 3" xfId="139" xr:uid="{00000000-0005-0000-0000-00005F000000}"/>
    <cellStyle name="Accent1 4" xfId="140" xr:uid="{00000000-0005-0000-0000-000060000000}"/>
    <cellStyle name="Accent1 5" xfId="141" xr:uid="{00000000-0005-0000-0000-000061000000}"/>
    <cellStyle name="Accent1 6" xfId="142" xr:uid="{00000000-0005-0000-0000-000062000000}"/>
    <cellStyle name="Accent2 2" xfId="143" xr:uid="{00000000-0005-0000-0000-000063000000}"/>
    <cellStyle name="Accent2 3" xfId="144" xr:uid="{00000000-0005-0000-0000-000064000000}"/>
    <cellStyle name="Accent2 4" xfId="145" xr:uid="{00000000-0005-0000-0000-000065000000}"/>
    <cellStyle name="Accent2 5" xfId="146" xr:uid="{00000000-0005-0000-0000-000066000000}"/>
    <cellStyle name="Accent2 6" xfId="147" xr:uid="{00000000-0005-0000-0000-000067000000}"/>
    <cellStyle name="Accent3 2" xfId="148" xr:uid="{00000000-0005-0000-0000-000068000000}"/>
    <cellStyle name="Accent3 3" xfId="149" xr:uid="{00000000-0005-0000-0000-000069000000}"/>
    <cellStyle name="Accent3 4" xfId="150" xr:uid="{00000000-0005-0000-0000-00006A000000}"/>
    <cellStyle name="Accent3 5" xfId="151" xr:uid="{00000000-0005-0000-0000-00006B000000}"/>
    <cellStyle name="Accent3 6" xfId="152" xr:uid="{00000000-0005-0000-0000-00006C000000}"/>
    <cellStyle name="Accent4 2" xfId="153" xr:uid="{00000000-0005-0000-0000-00006D000000}"/>
    <cellStyle name="Accent4 3" xfId="154" xr:uid="{00000000-0005-0000-0000-00006E000000}"/>
    <cellStyle name="Accent4 4" xfId="155" xr:uid="{00000000-0005-0000-0000-00006F000000}"/>
    <cellStyle name="Accent4 5" xfId="156" xr:uid="{00000000-0005-0000-0000-000070000000}"/>
    <cellStyle name="Accent4 6" xfId="157" xr:uid="{00000000-0005-0000-0000-000071000000}"/>
    <cellStyle name="Accent5 2" xfId="158" xr:uid="{00000000-0005-0000-0000-000072000000}"/>
    <cellStyle name="Accent5 3" xfId="159" xr:uid="{00000000-0005-0000-0000-000073000000}"/>
    <cellStyle name="Accent5 4" xfId="160" xr:uid="{00000000-0005-0000-0000-000074000000}"/>
    <cellStyle name="Accent5 5" xfId="161" xr:uid="{00000000-0005-0000-0000-000075000000}"/>
    <cellStyle name="Accent5 6" xfId="162" xr:uid="{00000000-0005-0000-0000-000076000000}"/>
    <cellStyle name="Accent6 2" xfId="163" xr:uid="{00000000-0005-0000-0000-000077000000}"/>
    <cellStyle name="Accent6 3" xfId="164" xr:uid="{00000000-0005-0000-0000-000078000000}"/>
    <cellStyle name="Accent6 4" xfId="165" xr:uid="{00000000-0005-0000-0000-000079000000}"/>
    <cellStyle name="Accent6 5" xfId="166" xr:uid="{00000000-0005-0000-0000-00007A000000}"/>
    <cellStyle name="Accent6 6" xfId="167" xr:uid="{00000000-0005-0000-0000-00007B000000}"/>
    <cellStyle name="Bad 2" xfId="168" xr:uid="{00000000-0005-0000-0000-00007C000000}"/>
    <cellStyle name="Bad 3" xfId="169" xr:uid="{00000000-0005-0000-0000-00007D000000}"/>
    <cellStyle name="Bad 4" xfId="170" xr:uid="{00000000-0005-0000-0000-00007E000000}"/>
    <cellStyle name="Bad 5" xfId="171" xr:uid="{00000000-0005-0000-0000-00007F000000}"/>
    <cellStyle name="Bad 6" xfId="172" xr:uid="{00000000-0005-0000-0000-000080000000}"/>
    <cellStyle name="Calculation 2" xfId="173" xr:uid="{00000000-0005-0000-0000-000081000000}"/>
    <cellStyle name="Calculation 3" xfId="174" xr:uid="{00000000-0005-0000-0000-000082000000}"/>
    <cellStyle name="Calculation 4" xfId="175" xr:uid="{00000000-0005-0000-0000-000083000000}"/>
    <cellStyle name="Calculation 5" xfId="176" xr:uid="{00000000-0005-0000-0000-000084000000}"/>
    <cellStyle name="Calculation 6" xfId="177" xr:uid="{00000000-0005-0000-0000-000085000000}"/>
    <cellStyle name="Check Cell 2" xfId="178" xr:uid="{00000000-0005-0000-0000-000086000000}"/>
    <cellStyle name="Check Cell 3" xfId="179" xr:uid="{00000000-0005-0000-0000-000087000000}"/>
    <cellStyle name="Check Cell 4" xfId="180" xr:uid="{00000000-0005-0000-0000-000088000000}"/>
    <cellStyle name="Check Cell 5" xfId="181" xr:uid="{00000000-0005-0000-0000-000089000000}"/>
    <cellStyle name="Check Cell 6" xfId="182" xr:uid="{00000000-0005-0000-0000-00008A000000}"/>
    <cellStyle name="Comma" xfId="2" builtinId="3"/>
    <cellStyle name="Comma 10" xfId="284" xr:uid="{00000000-0005-0000-0000-00008C000000}"/>
    <cellStyle name="Comma 11" xfId="295" xr:uid="{00000000-0005-0000-0000-00008D000000}"/>
    <cellStyle name="Comma 12" xfId="319" xr:uid="{00000000-0005-0000-0000-00008E000000}"/>
    <cellStyle name="Comma 2" xfId="7" xr:uid="{00000000-0005-0000-0000-00008F000000}"/>
    <cellStyle name="Comma 2 2" xfId="45" xr:uid="{00000000-0005-0000-0000-000090000000}"/>
    <cellStyle name="Comma 2 3" xfId="183" xr:uid="{00000000-0005-0000-0000-000091000000}"/>
    <cellStyle name="Comma 2 3 2" xfId="301" xr:uid="{00000000-0005-0000-0000-000092000000}"/>
    <cellStyle name="Comma 2 4" xfId="184" xr:uid="{00000000-0005-0000-0000-000093000000}"/>
    <cellStyle name="Comma 2 5" xfId="282" xr:uid="{00000000-0005-0000-0000-000094000000}"/>
    <cellStyle name="Comma 2 5 2" xfId="292" xr:uid="{00000000-0005-0000-0000-000095000000}"/>
    <cellStyle name="Comma 2 5 2 2" xfId="302" xr:uid="{00000000-0005-0000-0000-000096000000}"/>
    <cellStyle name="Comma 2 5 3" xfId="298" xr:uid="{00000000-0005-0000-0000-000097000000}"/>
    <cellStyle name="Comma 2 5 4" xfId="318" xr:uid="{00000000-0005-0000-0000-000098000000}"/>
    <cellStyle name="Comma 2 6" xfId="286" xr:uid="{00000000-0005-0000-0000-000099000000}"/>
    <cellStyle name="Comma 2 6 2" xfId="288" xr:uid="{00000000-0005-0000-0000-00009A000000}"/>
    <cellStyle name="Comma 2 6 2 2" xfId="300" xr:uid="{00000000-0005-0000-0000-00009B000000}"/>
    <cellStyle name="Comma 2 7" xfId="303" xr:uid="{00000000-0005-0000-0000-00009C000000}"/>
    <cellStyle name="Comma 3" xfId="8" xr:uid="{00000000-0005-0000-0000-00009D000000}"/>
    <cellStyle name="Comma 3 2" xfId="46" xr:uid="{00000000-0005-0000-0000-00009E000000}"/>
    <cellStyle name="Comma 3 3" xfId="304" xr:uid="{00000000-0005-0000-0000-00009F000000}"/>
    <cellStyle name="Comma 37" xfId="293" xr:uid="{00000000-0005-0000-0000-0000A0000000}"/>
    <cellStyle name="Comma 4" xfId="9" xr:uid="{00000000-0005-0000-0000-0000A1000000}"/>
    <cellStyle name="Comma 4 2" xfId="185" xr:uid="{00000000-0005-0000-0000-0000A2000000}"/>
    <cellStyle name="Comma 4 3" xfId="305" xr:uid="{00000000-0005-0000-0000-0000A3000000}"/>
    <cellStyle name="Comma 5" xfId="10" xr:uid="{00000000-0005-0000-0000-0000A4000000}"/>
    <cellStyle name="Comma 5 2" xfId="186" xr:uid="{00000000-0005-0000-0000-0000A5000000}"/>
    <cellStyle name="Comma 5 3" xfId="187" xr:uid="{00000000-0005-0000-0000-0000A6000000}"/>
    <cellStyle name="Comma 6" xfId="188" xr:uid="{00000000-0005-0000-0000-0000A7000000}"/>
    <cellStyle name="Comma 7" xfId="189" xr:uid="{00000000-0005-0000-0000-0000A8000000}"/>
    <cellStyle name="Comma 8" xfId="190" xr:uid="{00000000-0005-0000-0000-0000A9000000}"/>
    <cellStyle name="Comma 9" xfId="47" xr:uid="{00000000-0005-0000-0000-0000AA000000}"/>
    <cellStyle name="Comma0" xfId="191" xr:uid="{00000000-0005-0000-0000-0000AB000000}"/>
    <cellStyle name="Currency" xfId="3" builtinId="4"/>
    <cellStyle name="Currency 2" xfId="11" xr:uid="{00000000-0005-0000-0000-0000AD000000}"/>
    <cellStyle name="Currency 2 2" xfId="306" xr:uid="{00000000-0005-0000-0000-0000AE000000}"/>
    <cellStyle name="Currency 3" xfId="192" xr:uid="{00000000-0005-0000-0000-0000AF000000}"/>
    <cellStyle name="Currency 3 2" xfId="193" xr:uid="{00000000-0005-0000-0000-0000B0000000}"/>
    <cellStyle name="Currency 4" xfId="290" xr:uid="{00000000-0005-0000-0000-0000B1000000}"/>
    <cellStyle name="Currency 4 2" xfId="307" xr:uid="{00000000-0005-0000-0000-0000B2000000}"/>
    <cellStyle name="Currency 5" xfId="296" xr:uid="{00000000-0005-0000-0000-0000B3000000}"/>
    <cellStyle name="Explanatory Text 2" xfId="194" xr:uid="{00000000-0005-0000-0000-0000B4000000}"/>
    <cellStyle name="Explanatory Text 3" xfId="195" xr:uid="{00000000-0005-0000-0000-0000B5000000}"/>
    <cellStyle name="Explanatory Text 4" xfId="196" xr:uid="{00000000-0005-0000-0000-0000B6000000}"/>
    <cellStyle name="Explanatory Text 5" xfId="197" xr:uid="{00000000-0005-0000-0000-0000B7000000}"/>
    <cellStyle name="Explanatory Text 6" xfId="198" xr:uid="{00000000-0005-0000-0000-0000B8000000}"/>
    <cellStyle name="Good 2" xfId="199" xr:uid="{00000000-0005-0000-0000-0000B9000000}"/>
    <cellStyle name="Good 3" xfId="200" xr:uid="{00000000-0005-0000-0000-0000BA000000}"/>
    <cellStyle name="Good 4" xfId="201" xr:uid="{00000000-0005-0000-0000-0000BB000000}"/>
    <cellStyle name="Good 5" xfId="202" xr:uid="{00000000-0005-0000-0000-0000BC000000}"/>
    <cellStyle name="Good 6" xfId="203" xr:uid="{00000000-0005-0000-0000-0000BD000000}"/>
    <cellStyle name="Heading 1 2" xfId="204" xr:uid="{00000000-0005-0000-0000-0000BE000000}"/>
    <cellStyle name="Heading 1 3" xfId="205" xr:uid="{00000000-0005-0000-0000-0000BF000000}"/>
    <cellStyle name="Heading 1 4" xfId="206" xr:uid="{00000000-0005-0000-0000-0000C0000000}"/>
    <cellStyle name="Heading 1 5" xfId="207" xr:uid="{00000000-0005-0000-0000-0000C1000000}"/>
    <cellStyle name="Heading 1 6" xfId="208" xr:uid="{00000000-0005-0000-0000-0000C2000000}"/>
    <cellStyle name="Heading 2 2" xfId="209" xr:uid="{00000000-0005-0000-0000-0000C3000000}"/>
    <cellStyle name="Heading 2 3" xfId="210" xr:uid="{00000000-0005-0000-0000-0000C4000000}"/>
    <cellStyle name="Heading 2 4" xfId="211" xr:uid="{00000000-0005-0000-0000-0000C5000000}"/>
    <cellStyle name="Heading 2 5" xfId="212" xr:uid="{00000000-0005-0000-0000-0000C6000000}"/>
    <cellStyle name="Heading 2 6" xfId="213" xr:uid="{00000000-0005-0000-0000-0000C7000000}"/>
    <cellStyle name="Heading 3 2" xfId="214" xr:uid="{00000000-0005-0000-0000-0000C8000000}"/>
    <cellStyle name="Heading 3 3" xfId="215" xr:uid="{00000000-0005-0000-0000-0000C9000000}"/>
    <cellStyle name="Heading 3 4" xfId="216" xr:uid="{00000000-0005-0000-0000-0000CA000000}"/>
    <cellStyle name="Heading 3 5" xfId="217" xr:uid="{00000000-0005-0000-0000-0000CB000000}"/>
    <cellStyle name="Heading 3 6" xfId="218" xr:uid="{00000000-0005-0000-0000-0000CC000000}"/>
    <cellStyle name="Heading 4 2" xfId="219" xr:uid="{00000000-0005-0000-0000-0000CD000000}"/>
    <cellStyle name="Heading 4 3" xfId="220" xr:uid="{00000000-0005-0000-0000-0000CE000000}"/>
    <cellStyle name="Heading 4 4" xfId="221" xr:uid="{00000000-0005-0000-0000-0000CF000000}"/>
    <cellStyle name="Heading 4 5" xfId="222" xr:uid="{00000000-0005-0000-0000-0000D0000000}"/>
    <cellStyle name="Heading 4 6" xfId="223" xr:uid="{00000000-0005-0000-0000-0000D1000000}"/>
    <cellStyle name="Input 2" xfId="224" xr:uid="{00000000-0005-0000-0000-0000D2000000}"/>
    <cellStyle name="Input 3" xfId="225" xr:uid="{00000000-0005-0000-0000-0000D3000000}"/>
    <cellStyle name="Input 4" xfId="226" xr:uid="{00000000-0005-0000-0000-0000D4000000}"/>
    <cellStyle name="Input 5" xfId="227" xr:uid="{00000000-0005-0000-0000-0000D5000000}"/>
    <cellStyle name="Input 6" xfId="228" xr:uid="{00000000-0005-0000-0000-0000D6000000}"/>
    <cellStyle name="Linked Cell 2" xfId="229" xr:uid="{00000000-0005-0000-0000-0000D7000000}"/>
    <cellStyle name="Linked Cell 3" xfId="230" xr:uid="{00000000-0005-0000-0000-0000D8000000}"/>
    <cellStyle name="Linked Cell 4" xfId="231" xr:uid="{00000000-0005-0000-0000-0000D9000000}"/>
    <cellStyle name="Linked Cell 5" xfId="232" xr:uid="{00000000-0005-0000-0000-0000DA000000}"/>
    <cellStyle name="Linked Cell 6" xfId="233" xr:uid="{00000000-0005-0000-0000-0000DB000000}"/>
    <cellStyle name="Neutral 2" xfId="234" xr:uid="{00000000-0005-0000-0000-0000DC000000}"/>
    <cellStyle name="Neutral 3" xfId="235" xr:uid="{00000000-0005-0000-0000-0000DD000000}"/>
    <cellStyle name="Neutral 4" xfId="236" xr:uid="{00000000-0005-0000-0000-0000DE000000}"/>
    <cellStyle name="Neutral 5" xfId="237" xr:uid="{00000000-0005-0000-0000-0000DF000000}"/>
    <cellStyle name="Neutral 6" xfId="238" xr:uid="{00000000-0005-0000-0000-0000E0000000}"/>
    <cellStyle name="Normal" xfId="0" builtinId="0"/>
    <cellStyle name="Normal 10" xfId="12" xr:uid="{00000000-0005-0000-0000-0000E2000000}"/>
    <cellStyle name="Normal 10 2" xfId="308" xr:uid="{00000000-0005-0000-0000-0000E3000000}"/>
    <cellStyle name="Normal 11" xfId="13" xr:uid="{00000000-0005-0000-0000-0000E4000000}"/>
    <cellStyle name="Normal 11 2" xfId="309" xr:uid="{00000000-0005-0000-0000-0000E5000000}"/>
    <cellStyle name="Normal 12" xfId="14" xr:uid="{00000000-0005-0000-0000-0000E6000000}"/>
    <cellStyle name="Normal 12 2" xfId="310" xr:uid="{00000000-0005-0000-0000-0000E7000000}"/>
    <cellStyle name="Normal 13" xfId="15" xr:uid="{00000000-0005-0000-0000-0000E8000000}"/>
    <cellStyle name="Normal 14" xfId="16" xr:uid="{00000000-0005-0000-0000-0000E9000000}"/>
    <cellStyle name="Normal 15" xfId="17" xr:uid="{00000000-0005-0000-0000-0000EA000000}"/>
    <cellStyle name="Normal 16" xfId="18" xr:uid="{00000000-0005-0000-0000-0000EB000000}"/>
    <cellStyle name="Normal 17" xfId="19" xr:uid="{00000000-0005-0000-0000-0000EC000000}"/>
    <cellStyle name="Normal 18" xfId="20" xr:uid="{00000000-0005-0000-0000-0000ED000000}"/>
    <cellStyle name="Normal 19" xfId="21" xr:uid="{00000000-0005-0000-0000-0000EE000000}"/>
    <cellStyle name="Normal 2" xfId="6" xr:uid="{00000000-0005-0000-0000-0000EF000000}"/>
    <cellStyle name="Normal 2 2" xfId="22" xr:uid="{00000000-0005-0000-0000-0000F0000000}"/>
    <cellStyle name="Normal 2 2 2" xfId="311" xr:uid="{00000000-0005-0000-0000-0000F1000000}"/>
    <cellStyle name="Normal 2 3" xfId="239" xr:uid="{00000000-0005-0000-0000-0000F2000000}"/>
    <cellStyle name="Normal 2 4" xfId="240" xr:uid="{00000000-0005-0000-0000-0000F3000000}"/>
    <cellStyle name="Normal 2 4 2" xfId="320" xr:uid="{00000000-0005-0000-0000-0000F4000000}"/>
    <cellStyle name="Normal 2 5" xfId="281" xr:uid="{00000000-0005-0000-0000-0000F5000000}"/>
    <cellStyle name="Normal 2 5 2" xfId="291" xr:uid="{00000000-0005-0000-0000-0000F6000000}"/>
    <cellStyle name="Normal 2 5 3" xfId="297" xr:uid="{00000000-0005-0000-0000-0000F7000000}"/>
    <cellStyle name="Normal 2 6" xfId="285" xr:uid="{00000000-0005-0000-0000-0000F8000000}"/>
    <cellStyle name="Normal 2 6 2" xfId="287" xr:uid="{00000000-0005-0000-0000-0000F9000000}"/>
    <cellStyle name="Normal 2 6 2 2" xfId="299" xr:uid="{00000000-0005-0000-0000-0000FA000000}"/>
    <cellStyle name="Normal 2 7" xfId="312" xr:uid="{00000000-0005-0000-0000-0000FB000000}"/>
    <cellStyle name="Normal 2 8" xfId="328" xr:uid="{00000000-0005-0000-0000-0000FC000000}"/>
    <cellStyle name="Normal 20" xfId="23" xr:uid="{00000000-0005-0000-0000-0000FD000000}"/>
    <cellStyle name="Normal 21" xfId="24" xr:uid="{00000000-0005-0000-0000-0000FE000000}"/>
    <cellStyle name="Normal 22" xfId="25" xr:uid="{00000000-0005-0000-0000-0000FF000000}"/>
    <cellStyle name="Normal 23" xfId="26" xr:uid="{00000000-0005-0000-0000-000000010000}"/>
    <cellStyle name="Normal 24" xfId="27" xr:uid="{00000000-0005-0000-0000-000001010000}"/>
    <cellStyle name="Normal 25" xfId="28" xr:uid="{00000000-0005-0000-0000-000002010000}"/>
    <cellStyle name="Normal 26" xfId="29" xr:uid="{00000000-0005-0000-0000-000003010000}"/>
    <cellStyle name="Normal 27" xfId="30" xr:uid="{00000000-0005-0000-0000-000004010000}"/>
    <cellStyle name="Normal 28" xfId="31" xr:uid="{00000000-0005-0000-0000-000005010000}"/>
    <cellStyle name="Normal 29" xfId="32" xr:uid="{00000000-0005-0000-0000-000006010000}"/>
    <cellStyle name="Normal 3" xfId="5" xr:uid="{00000000-0005-0000-0000-000007010000}"/>
    <cellStyle name="Normal 3 2" xfId="241" xr:uid="{00000000-0005-0000-0000-000008010000}"/>
    <cellStyle name="Normal 3 3" xfId="242" xr:uid="{00000000-0005-0000-0000-000009010000}"/>
    <cellStyle name="Normal 3 4" xfId="243" xr:uid="{00000000-0005-0000-0000-00000A010000}"/>
    <cellStyle name="Normal 3 5" xfId="313" xr:uid="{00000000-0005-0000-0000-00000B010000}"/>
    <cellStyle name="Normal 30" xfId="33" xr:uid="{00000000-0005-0000-0000-00000C010000}"/>
    <cellStyle name="Normal 31" xfId="34" xr:uid="{00000000-0005-0000-0000-00000D010000}"/>
    <cellStyle name="Normal 32" xfId="35" xr:uid="{00000000-0005-0000-0000-00000E010000}"/>
    <cellStyle name="Normal 33" xfId="36" xr:uid="{00000000-0005-0000-0000-00000F010000}"/>
    <cellStyle name="Normal 34" xfId="37" xr:uid="{00000000-0005-0000-0000-000010010000}"/>
    <cellStyle name="Normal 35" xfId="294" xr:uid="{00000000-0005-0000-0000-000011010000}"/>
    <cellStyle name="Normal 36" xfId="321" xr:uid="{00000000-0005-0000-0000-000012010000}"/>
    <cellStyle name="Normal 37" xfId="322" xr:uid="{00000000-0005-0000-0000-000013010000}"/>
    <cellStyle name="Normal 38" xfId="323" xr:uid="{00000000-0005-0000-0000-000014010000}"/>
    <cellStyle name="Normal 39" xfId="324" xr:uid="{00000000-0005-0000-0000-000015010000}"/>
    <cellStyle name="Normal 4" xfId="4" xr:uid="{00000000-0005-0000-0000-000016010000}"/>
    <cellStyle name="Normal 4 2" xfId="244" xr:uid="{00000000-0005-0000-0000-000017010000}"/>
    <cellStyle name="Normal 4_STCIMF TCTF Handout v3" xfId="245" xr:uid="{00000000-0005-0000-0000-000018010000}"/>
    <cellStyle name="Normal 5" xfId="38" xr:uid="{00000000-0005-0000-0000-000019010000}"/>
    <cellStyle name="Normal 6" xfId="39" xr:uid="{00000000-0005-0000-0000-00001A010000}"/>
    <cellStyle name="Normal 7" xfId="40" xr:uid="{00000000-0005-0000-0000-00001B010000}"/>
    <cellStyle name="Normal 7 2" xfId="246" xr:uid="{00000000-0005-0000-0000-00001C010000}"/>
    <cellStyle name="Normal 8" xfId="41" xr:uid="{00000000-0005-0000-0000-00001D010000}"/>
    <cellStyle name="Normal 8 2" xfId="247" xr:uid="{00000000-0005-0000-0000-00001E010000}"/>
    <cellStyle name="Normal 9" xfId="42" xr:uid="{00000000-0005-0000-0000-00001F010000}"/>
    <cellStyle name="Note 2" xfId="248" xr:uid="{00000000-0005-0000-0000-000020010000}"/>
    <cellStyle name="Note 3" xfId="249" xr:uid="{00000000-0005-0000-0000-000021010000}"/>
    <cellStyle name="Note 4" xfId="250" xr:uid="{00000000-0005-0000-0000-000022010000}"/>
    <cellStyle name="Note 5" xfId="251" xr:uid="{00000000-0005-0000-0000-000023010000}"/>
    <cellStyle name="Note 6" xfId="252" xr:uid="{00000000-0005-0000-0000-000024010000}"/>
    <cellStyle name="Output 2" xfId="253" xr:uid="{00000000-0005-0000-0000-000025010000}"/>
    <cellStyle name="Output 3" xfId="254" xr:uid="{00000000-0005-0000-0000-000026010000}"/>
    <cellStyle name="Output 4" xfId="255" xr:uid="{00000000-0005-0000-0000-000027010000}"/>
    <cellStyle name="Output 5" xfId="256" xr:uid="{00000000-0005-0000-0000-000028010000}"/>
    <cellStyle name="Output 6" xfId="257" xr:uid="{00000000-0005-0000-0000-000029010000}"/>
    <cellStyle name="Output Amounts" xfId="258" xr:uid="{00000000-0005-0000-0000-00002A010000}"/>
    <cellStyle name="Output Column Headings" xfId="259" xr:uid="{00000000-0005-0000-0000-00002B010000}"/>
    <cellStyle name="Output Line Items" xfId="260" xr:uid="{00000000-0005-0000-0000-00002C010000}"/>
    <cellStyle name="Output Report Heading" xfId="261" xr:uid="{00000000-0005-0000-0000-00002D010000}"/>
    <cellStyle name="Output Report Title" xfId="262" xr:uid="{00000000-0005-0000-0000-00002E010000}"/>
    <cellStyle name="Percent" xfId="1" builtinId="5"/>
    <cellStyle name="Percent 2" xfId="43" xr:uid="{00000000-0005-0000-0000-000030010000}"/>
    <cellStyle name="Percent 2 2" xfId="263" xr:uid="{00000000-0005-0000-0000-000031010000}"/>
    <cellStyle name="Percent 2 3" xfId="264" xr:uid="{00000000-0005-0000-0000-000032010000}"/>
    <cellStyle name="Percent 2 4" xfId="289" xr:uid="{00000000-0005-0000-0000-000033010000}"/>
    <cellStyle name="Percent 3" xfId="44" xr:uid="{00000000-0005-0000-0000-000034010000}"/>
    <cellStyle name="Percent 3 2" xfId="314" xr:uid="{00000000-0005-0000-0000-000035010000}"/>
    <cellStyle name="Percent 4" xfId="265" xr:uid="{00000000-0005-0000-0000-000036010000}"/>
    <cellStyle name="Percent 4 2" xfId="315" xr:uid="{00000000-0005-0000-0000-000037010000}"/>
    <cellStyle name="Percent 5" xfId="316" xr:uid="{00000000-0005-0000-0000-000038010000}"/>
    <cellStyle name="Percent 6" xfId="317" xr:uid="{00000000-0005-0000-0000-000039010000}"/>
    <cellStyle name="Percent 7" xfId="325" xr:uid="{00000000-0005-0000-0000-00003A010000}"/>
    <cellStyle name="Title 2" xfId="266" xr:uid="{00000000-0005-0000-0000-00003B010000}"/>
    <cellStyle name="Title 3" xfId="267" xr:uid="{00000000-0005-0000-0000-00003C010000}"/>
    <cellStyle name="Title 4" xfId="268" xr:uid="{00000000-0005-0000-0000-00003D010000}"/>
    <cellStyle name="Title 5" xfId="269" xr:uid="{00000000-0005-0000-0000-00003E010000}"/>
    <cellStyle name="Title 6" xfId="270" xr:uid="{00000000-0005-0000-0000-00003F010000}"/>
    <cellStyle name="Total 2" xfId="271" xr:uid="{00000000-0005-0000-0000-000040010000}"/>
    <cellStyle name="Total 3" xfId="272" xr:uid="{00000000-0005-0000-0000-000041010000}"/>
    <cellStyle name="Total 4" xfId="273" xr:uid="{00000000-0005-0000-0000-000042010000}"/>
    <cellStyle name="Total 5" xfId="274" xr:uid="{00000000-0005-0000-0000-000043010000}"/>
    <cellStyle name="Total 6" xfId="275" xr:uid="{00000000-0005-0000-0000-000044010000}"/>
    <cellStyle name="Warning Text 2" xfId="276" xr:uid="{00000000-0005-0000-0000-000045010000}"/>
    <cellStyle name="Warning Text 3" xfId="277" xr:uid="{00000000-0005-0000-0000-000046010000}"/>
    <cellStyle name="Warning Text 4" xfId="278" xr:uid="{00000000-0005-0000-0000-000047010000}"/>
    <cellStyle name="Warning Text 5" xfId="279" xr:uid="{00000000-0005-0000-0000-000048010000}"/>
    <cellStyle name="Warning Text 6" xfId="280" xr:uid="{00000000-0005-0000-0000-000049010000}"/>
  </cellStyles>
  <dxfs count="4">
    <dxf>
      <font>
        <condense val="0"/>
        <extend val="0"/>
        <color rgb="FF9C0006"/>
      </font>
      <fill>
        <patternFill>
          <bgColor rgb="FFFFC7CE"/>
        </patternFill>
      </fill>
    </dxf>
    <dxf>
      <fill>
        <patternFill>
          <bgColor theme="9" tint="0.59996337778862885"/>
        </patternFill>
      </fill>
    </dxf>
    <dxf>
      <fill>
        <patternFill>
          <bgColor theme="8" tint="0.59996337778862885"/>
        </patternFill>
      </fill>
    </dxf>
    <dxf>
      <font>
        <condense val="0"/>
        <extend val="0"/>
        <color rgb="FF9C0006"/>
      </font>
      <fill>
        <patternFill>
          <bgColor rgb="FFFFC7CE"/>
        </patternFill>
      </fill>
    </dxf>
  </dxfs>
  <tableStyles count="0" defaultTableStyle="TableStyleMedium9" defaultPivotStyle="PivotStyleLight16"/>
  <colors>
    <mruColors>
      <color rgb="FF6EBBD0"/>
      <color rgb="FF5AB2CA"/>
      <color rgb="FF3593A9"/>
      <color rgb="FF2F7E91"/>
      <color rgb="FFFFFFCC"/>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APPS\Hysoft\Finance\Bud0203\Hyperion%20reports\QFR%20Repor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jcc\aocdata\divisions\BMS\OCR\Data\BLS\3YR%20AVG%20BLS%2022-24\3YR%20AVG%20BLS%2022-24_Outpu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jcc\aocdata\divisions\BMS\OCR\Research%20&amp;%20Analysis\Workload\Staff\RAS%20Model%20Updates\2026%20for%20FY%2026-27\RAS%20run%202026_02_09\FY_26-27_RAS_FTE_Need.xlsx"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file:///G:\BMS\OCR\Workload%20Formula\Workload%20Formula%20Allocations\2026-27\FY%202026-27%20WF%20Need%20Support%20Data%20(Budget%20Services%20to%20RAD).xlsx" TargetMode="External"/><Relationship Id="rId1" Type="http://schemas.openxmlformats.org/officeDocument/2006/relationships/externalLinkPath" Target="FY%202026-27%20WF%20Need%20Support%20Data%20(Budget%20Services%20to%20RAD).xlsx"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file:///G:\BMS\OCR\Workload%20Formula\Workload%20Formula%20Allocations\2026-27\2026-27%20WF%20Need%20AB1058.xlsx" TargetMode="External"/><Relationship Id="rId1" Type="http://schemas.openxmlformats.org/officeDocument/2006/relationships/externalLinkPath" Target="2026-27%20WF%20Need%20AB105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Simpson\Application%20Data\Microsoft\Excel\1%25%20cap%20reduction\1%25%20calculation%20form.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Finance\BUDGET\Users\Peralta\TC-145\TC-145-2009-01-Final-unprotected1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cc\aocdata\EOP\OCR\Research%20&amp;%20Analysis\Workload\Staff\RAS%20Model%20Updates\Reassess%20model%20parameters\Finance%20dollar%20conversion\RAS%20I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jcc\aocdata\Finance\BUDGET\Users\Simpson\Revenue\FY%202013-14%20TCTF%20Projections\2013TCTF%20Revenue%20Projection_06DecColl%202014021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jcc\aocdata\Finance\BUDGET\BDTSU\Annual%20Report%20to%20Legislature\FY%202008-09\Allocation%20Report\KP-AllocationsReimb-MOD-FY2008-Nov1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jcc\aocdata\Finance\BUDGET\Users\Simpson\Funding%20Models\5%20year%20Special%20Funds%20funding%20detail.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Finance\BUDGET\BDTSU\Revenue\10Rs\TCTF\FY%2009-10\TCTF%20May%20Revise%20Final_042309.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20and%20Settings\jleibowitz\Local%20Settings\Temporary%20Internet%20Files\OLK178\TC-145%20effective%20Jan%201%2009_JLP%20010709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QFR Quarter by Quarter"/>
      <sheetName val="QFR Year by Year"/>
      <sheetName val="QFR Report Year to Year"/>
      <sheetName val="QFR by court and accounts"/>
      <sheetName val="State vs. Total Revenue"/>
      <sheetName val="QFR by Account, court, quarters"/>
      <sheetName val="Judges S&amp;B"/>
      <sheetName val="QFR Interpreters by court"/>
      <sheetName val="QFR Indirect Costs by court "/>
      <sheetName val="QFR Total Exp by court"/>
      <sheetName val="Security"/>
      <sheetName val="Salaries &amp; Benefits"/>
      <sheetName val="Benefit by court "/>
      <sheetName val="Salaries by court"/>
      <sheetName val="Salaries &amp; Benefit by court"/>
      <sheetName val="1H WAFM Funding Need"/>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ummary"/>
    </sheetNames>
    <sheetDataSet>
      <sheetData sheetId="0"/>
      <sheetData sheetId="1">
        <row r="2">
          <cell r="A2" t="str">
            <v>Alameda</v>
          </cell>
          <cell r="B2">
            <v>0.25148218870162964</v>
          </cell>
          <cell r="C2">
            <v>0.74851787090301514</v>
          </cell>
          <cell r="D2" t="str">
            <v>no</v>
          </cell>
          <cell r="E2">
            <v>1.4749454259872437</v>
          </cell>
          <cell r="F2">
            <v>1.4797787666320801</v>
          </cell>
          <cell r="G2">
            <v>1.4773621559143066</v>
          </cell>
        </row>
        <row r="3">
          <cell r="A3" t="str">
            <v>Alpine</v>
          </cell>
          <cell r="B3">
            <v>8.0645158886909485E-2</v>
          </cell>
          <cell r="C3">
            <v>0.91935479640960693</v>
          </cell>
          <cell r="D3" t="str">
            <v>no</v>
          </cell>
          <cell r="E3">
            <v>0.68666118383407593</v>
          </cell>
          <cell r="F3">
            <v>0.75190412998199463</v>
          </cell>
          <cell r="G3">
            <v>0.71928262710571289</v>
          </cell>
        </row>
        <row r="4">
          <cell r="A4" t="str">
            <v>Amador</v>
          </cell>
          <cell r="B4">
            <v>0.70501333475112915</v>
          </cell>
          <cell r="C4">
            <v>0.29498669505119324</v>
          </cell>
          <cell r="D4" t="str">
            <v>yes</v>
          </cell>
          <cell r="E4">
            <v>0.92670422792434692</v>
          </cell>
          <cell r="F4">
            <v>0.92826700210571289</v>
          </cell>
          <cell r="G4">
            <v>0.92748558521270752</v>
          </cell>
        </row>
        <row r="5">
          <cell r="A5" t="str">
            <v>Butte</v>
          </cell>
          <cell r="B5">
            <v>0.20662881433963776</v>
          </cell>
          <cell r="C5">
            <v>0.79337120056152344</v>
          </cell>
          <cell r="D5" t="str">
            <v>no</v>
          </cell>
          <cell r="E5">
            <v>0.92523401975631714</v>
          </cell>
          <cell r="F5">
            <v>0.86910712718963623</v>
          </cell>
          <cell r="G5">
            <v>0.8971705436706543</v>
          </cell>
        </row>
        <row r="6">
          <cell r="A6" t="str">
            <v>Calaveras</v>
          </cell>
          <cell r="B6">
            <v>0.38051518797874451</v>
          </cell>
          <cell r="C6">
            <v>0.61948484182357788</v>
          </cell>
          <cell r="D6" t="str">
            <v>no</v>
          </cell>
          <cell r="E6">
            <v>0.79917424917221069</v>
          </cell>
          <cell r="F6">
            <v>0.86235398054122925</v>
          </cell>
          <cell r="G6">
            <v>0.83076411485671997</v>
          </cell>
        </row>
        <row r="7">
          <cell r="A7" t="str">
            <v>Colusa</v>
          </cell>
          <cell r="B7">
            <v>5.6210335344076157E-2</v>
          </cell>
          <cell r="C7">
            <v>0.94378966093063354</v>
          </cell>
          <cell r="D7" t="str">
            <v>no</v>
          </cell>
          <cell r="E7">
            <v>0.61287081241607666</v>
          </cell>
          <cell r="F7">
            <v>0.75406444072723389</v>
          </cell>
          <cell r="G7">
            <v>0.68346762657165527</v>
          </cell>
        </row>
        <row r="8">
          <cell r="A8" t="str">
            <v>Contra Costa</v>
          </cell>
          <cell r="B8">
            <v>5.0474125891923904E-2</v>
          </cell>
          <cell r="C8">
            <v>0.94952589273452759</v>
          </cell>
          <cell r="D8" t="str">
            <v>no</v>
          </cell>
          <cell r="E8">
            <v>1.0475940704345703</v>
          </cell>
          <cell r="F8">
            <v>1.3127007484436035</v>
          </cell>
          <cell r="G8">
            <v>1.1801474094390869</v>
          </cell>
        </row>
        <row r="9">
          <cell r="A9" t="str">
            <v>Del Norte</v>
          </cell>
          <cell r="B9">
            <v>0.63607186079025269</v>
          </cell>
          <cell r="C9">
            <v>0.36392807960510254</v>
          </cell>
          <cell r="D9" t="str">
            <v>yes</v>
          </cell>
          <cell r="E9">
            <v>0.82573980093002319</v>
          </cell>
          <cell r="F9">
            <v>0.67789709568023682</v>
          </cell>
          <cell r="G9">
            <v>0.75181841850280762</v>
          </cell>
        </row>
        <row r="10">
          <cell r="A10" t="str">
            <v>El Dorado</v>
          </cell>
          <cell r="B10">
            <v>0.14545823633670807</v>
          </cell>
          <cell r="C10">
            <v>0.85454171895980835</v>
          </cell>
          <cell r="D10" t="str">
            <v>no</v>
          </cell>
          <cell r="E10">
            <v>0.99183750152587891</v>
          </cell>
          <cell r="F10">
            <v>1.1307181119918823</v>
          </cell>
          <cell r="G10">
            <v>1.0612778663635254</v>
          </cell>
        </row>
        <row r="11">
          <cell r="A11" t="str">
            <v>Fresno</v>
          </cell>
          <cell r="B11">
            <v>0.3232387900352478</v>
          </cell>
          <cell r="C11">
            <v>0.6767612099647522</v>
          </cell>
          <cell r="D11" t="str">
            <v>no</v>
          </cell>
          <cell r="E11">
            <v>1.1194567680358887</v>
          </cell>
          <cell r="F11">
            <v>0.95337182283401489</v>
          </cell>
          <cell r="G11">
            <v>1.0364142656326294</v>
          </cell>
        </row>
        <row r="12">
          <cell r="A12" t="str">
            <v>Glenn</v>
          </cell>
          <cell r="B12">
            <v>3.3923301845788956E-2</v>
          </cell>
          <cell r="C12">
            <v>0.96607667207717896</v>
          </cell>
          <cell r="D12" t="str">
            <v>no</v>
          </cell>
          <cell r="E12">
            <v>1.0651761293411255</v>
          </cell>
          <cell r="F12">
            <v>0.75637280941009521</v>
          </cell>
          <cell r="G12">
            <v>0.91077446937561035</v>
          </cell>
        </row>
        <row r="13">
          <cell r="A13" t="str">
            <v>Humboldt</v>
          </cell>
          <cell r="B13">
            <v>0.25912809371948242</v>
          </cell>
          <cell r="C13">
            <v>0.74087190628051758</v>
          </cell>
          <cell r="D13" t="str">
            <v>no</v>
          </cell>
          <cell r="E13">
            <v>1.1112251281738281</v>
          </cell>
          <cell r="F13">
            <v>0.74337166547775269</v>
          </cell>
          <cell r="G13">
            <v>0.92729842662811279</v>
          </cell>
        </row>
        <row r="14">
          <cell r="A14" t="str">
            <v>Imperial</v>
          </cell>
          <cell r="B14">
            <v>0.48115047812461853</v>
          </cell>
          <cell r="C14">
            <v>0.51884955167770386</v>
          </cell>
          <cell r="D14" t="str">
            <v>no</v>
          </cell>
          <cell r="E14">
            <v>0.81056851148605347</v>
          </cell>
          <cell r="F14">
            <v>0.69174045324325562</v>
          </cell>
          <cell r="G14">
            <v>0.75115448236465454</v>
          </cell>
        </row>
        <row r="15">
          <cell r="A15" t="str">
            <v>Inyo</v>
          </cell>
          <cell r="B15">
            <v>0.33244821429252625</v>
          </cell>
          <cell r="C15">
            <v>0.66755175590515137</v>
          </cell>
          <cell r="D15" t="str">
            <v>no</v>
          </cell>
          <cell r="E15">
            <v>1.0937306880950928</v>
          </cell>
          <cell r="F15">
            <v>0.82393860816955566</v>
          </cell>
          <cell r="G15">
            <v>0.95883464813232422</v>
          </cell>
        </row>
        <row r="16">
          <cell r="A16" t="str">
            <v>Kern</v>
          </cell>
          <cell r="B16">
            <v>0.40579363703727722</v>
          </cell>
          <cell r="C16">
            <v>0.59420633316040039</v>
          </cell>
          <cell r="D16" t="str">
            <v>no</v>
          </cell>
          <cell r="E16">
            <v>0.96473091840744019</v>
          </cell>
          <cell r="F16">
            <v>0.93725103139877319</v>
          </cell>
          <cell r="G16">
            <v>0.95099097490310669</v>
          </cell>
        </row>
        <row r="17">
          <cell r="A17" t="str">
            <v>Kings</v>
          </cell>
          <cell r="B17">
            <v>0.64952266216278076</v>
          </cell>
          <cell r="C17">
            <v>0.35047736763954163</v>
          </cell>
          <cell r="D17" t="str">
            <v>yes</v>
          </cell>
          <cell r="E17">
            <v>0.79227876663208008</v>
          </cell>
          <cell r="F17">
            <v>0.84642010927200317</v>
          </cell>
          <cell r="G17">
            <v>0.81934940814971924</v>
          </cell>
        </row>
        <row r="18">
          <cell r="A18" t="str">
            <v>Lake</v>
          </cell>
          <cell r="B18">
            <v>4.826117679476738E-2</v>
          </cell>
          <cell r="C18">
            <v>0.95173883438110352</v>
          </cell>
          <cell r="D18" t="str">
            <v>no</v>
          </cell>
          <cell r="E18">
            <v>0.82295280694961548</v>
          </cell>
          <cell r="F18">
            <v>0.77314198017120361</v>
          </cell>
          <cell r="G18">
            <v>0.79804742336273193</v>
          </cell>
        </row>
        <row r="19">
          <cell r="A19" t="str">
            <v>Lassen</v>
          </cell>
          <cell r="B19">
            <v>0.77562814950942993</v>
          </cell>
          <cell r="C19">
            <v>0.22437189519405365</v>
          </cell>
          <cell r="D19" t="str">
            <v>yes</v>
          </cell>
          <cell r="E19">
            <v>0.84930557012557983</v>
          </cell>
          <cell r="F19">
            <v>0.70875251293182373</v>
          </cell>
          <cell r="G19">
            <v>0.77902901172637939</v>
          </cell>
        </row>
        <row r="20">
          <cell r="A20" t="str">
            <v>Los Angeles</v>
          </cell>
          <cell r="B20">
            <v>9.7257494926452637E-2</v>
          </cell>
          <cell r="C20">
            <v>0.90274250507354736</v>
          </cell>
          <cell r="D20" t="str">
            <v>no</v>
          </cell>
          <cell r="E20">
            <v>1.2866823673248291</v>
          </cell>
          <cell r="F20">
            <v>1.3648638725280762</v>
          </cell>
          <cell r="G20">
            <v>1.3257731199264526</v>
          </cell>
        </row>
        <row r="21">
          <cell r="A21" t="str">
            <v>Madera</v>
          </cell>
          <cell r="B21">
            <v>0.56368523836135864</v>
          </cell>
          <cell r="C21">
            <v>0.43631470203399658</v>
          </cell>
          <cell r="D21" t="str">
            <v>yes</v>
          </cell>
          <cell r="E21">
            <v>0.9503815770149231</v>
          </cell>
          <cell r="F21">
            <v>0.80951410531997681</v>
          </cell>
          <cell r="G21">
            <v>0.87994784116744995</v>
          </cell>
        </row>
        <row r="22">
          <cell r="A22" t="str">
            <v>Marin</v>
          </cell>
          <cell r="B22">
            <v>0.31874752044677734</v>
          </cell>
          <cell r="C22">
            <v>0.68125247955322266</v>
          </cell>
          <cell r="D22" t="str">
            <v>no</v>
          </cell>
          <cell r="E22">
            <v>0.8945809006690979</v>
          </cell>
          <cell r="F22">
            <v>1.1905050277709961</v>
          </cell>
          <cell r="G22">
            <v>1.0425429344177246</v>
          </cell>
        </row>
        <row r="23">
          <cell r="A23" t="str">
            <v>Mariposa</v>
          </cell>
          <cell r="B23">
            <v>0.53887760639190674</v>
          </cell>
          <cell r="C23">
            <v>0.46112236380577087</v>
          </cell>
          <cell r="D23" t="str">
            <v>yes</v>
          </cell>
          <cell r="E23">
            <v>0.80218851566314697</v>
          </cell>
          <cell r="F23">
            <v>0.85384869575500488</v>
          </cell>
          <cell r="G23">
            <v>0.82801860570907593</v>
          </cell>
        </row>
        <row r="24">
          <cell r="A24" t="str">
            <v>Mendocino</v>
          </cell>
          <cell r="B24">
            <v>0.18836899101734161</v>
          </cell>
          <cell r="C24">
            <v>0.81163102388381958</v>
          </cell>
          <cell r="D24" t="str">
            <v>no</v>
          </cell>
          <cell r="E24">
            <v>0.77060890197753906</v>
          </cell>
          <cell r="F24">
            <v>0.77642285823822021</v>
          </cell>
          <cell r="G24">
            <v>0.77351588010787964</v>
          </cell>
        </row>
        <row r="25">
          <cell r="A25" t="str">
            <v>Merced</v>
          </cell>
          <cell r="B25">
            <v>0.10378274321556091</v>
          </cell>
          <cell r="C25">
            <v>0.89621728658676147</v>
          </cell>
          <cell r="D25" t="str">
            <v>no</v>
          </cell>
          <cell r="E25">
            <v>0.97153753042221069</v>
          </cell>
          <cell r="F25">
            <v>0.78461319208145142</v>
          </cell>
          <cell r="G25">
            <v>0.87807536125183105</v>
          </cell>
        </row>
        <row r="26">
          <cell r="A26" t="str">
            <v>Modoc</v>
          </cell>
          <cell r="B26">
            <v>0.12688171863555908</v>
          </cell>
          <cell r="C26">
            <v>0.87311822175979614</v>
          </cell>
          <cell r="D26" t="str">
            <v>no</v>
          </cell>
          <cell r="E26">
            <v>0.97115689516067505</v>
          </cell>
          <cell r="F26">
            <v>0.56760567426681519</v>
          </cell>
          <cell r="G26">
            <v>0.76938128471374512</v>
          </cell>
        </row>
        <row r="27">
          <cell r="A27" t="str">
            <v>Mono</v>
          </cell>
          <cell r="B27">
            <v>9.6256688237190247E-2</v>
          </cell>
          <cell r="C27">
            <v>0.90374332666397095</v>
          </cell>
          <cell r="D27" t="str">
            <v>no</v>
          </cell>
          <cell r="E27">
            <v>0.94797658920288086</v>
          </cell>
          <cell r="F27">
            <v>0.91385245323181152</v>
          </cell>
          <cell r="G27">
            <v>0.93091452121734619</v>
          </cell>
        </row>
        <row r="28">
          <cell r="A28" t="str">
            <v>Monterey</v>
          </cell>
          <cell r="B28">
            <v>0.37379828095436096</v>
          </cell>
          <cell r="C28">
            <v>0.62620174884796143</v>
          </cell>
          <cell r="D28" t="str">
            <v>no</v>
          </cell>
          <cell r="E28">
            <v>0.88628488779067993</v>
          </cell>
          <cell r="F28">
            <v>1.1321594715118408</v>
          </cell>
          <cell r="G28">
            <v>1.009222149848938</v>
          </cell>
        </row>
        <row r="29">
          <cell r="A29" t="str">
            <v>Napa</v>
          </cell>
          <cell r="B29">
            <v>0.22959132492542267</v>
          </cell>
          <cell r="C29">
            <v>0.77040863037109375</v>
          </cell>
          <cell r="D29" t="str">
            <v>no</v>
          </cell>
          <cell r="E29">
            <v>0.95303201675415039</v>
          </cell>
          <cell r="F29">
            <v>1.2873004674911499</v>
          </cell>
          <cell r="G29">
            <v>1.1201663017272949</v>
          </cell>
        </row>
        <row r="30">
          <cell r="A30" t="str">
            <v>Nevada</v>
          </cell>
          <cell r="B30">
            <v>0.29148223996162415</v>
          </cell>
          <cell r="C30">
            <v>0.70851778984069824</v>
          </cell>
          <cell r="D30" t="str">
            <v>no</v>
          </cell>
          <cell r="E30">
            <v>0.76088875532150269</v>
          </cell>
          <cell r="F30">
            <v>1.0597002506256104</v>
          </cell>
          <cell r="G30">
            <v>0.91029453277587891</v>
          </cell>
        </row>
        <row r="31">
          <cell r="A31" t="str">
            <v>Orange</v>
          </cell>
          <cell r="B31">
            <v>0.11115317791700363</v>
          </cell>
          <cell r="C31">
            <v>0.888846755027771</v>
          </cell>
          <cell r="D31" t="str">
            <v>no</v>
          </cell>
          <cell r="E31">
            <v>1.1501396894454956</v>
          </cell>
          <cell r="F31">
            <v>1.2251654863357544</v>
          </cell>
          <cell r="G31">
            <v>1.187652587890625</v>
          </cell>
        </row>
        <row r="32">
          <cell r="A32" t="str">
            <v>Placer</v>
          </cell>
          <cell r="B32">
            <v>0.11286996304988861</v>
          </cell>
          <cell r="C32">
            <v>0.88713008165359497</v>
          </cell>
          <cell r="D32" t="str">
            <v>no</v>
          </cell>
          <cell r="E32">
            <v>0.99661362171173096</v>
          </cell>
          <cell r="F32">
            <v>1.1614402532577515</v>
          </cell>
          <cell r="G32">
            <v>1.0790269374847412</v>
          </cell>
        </row>
        <row r="33">
          <cell r="A33" t="str">
            <v>Plumas</v>
          </cell>
          <cell r="B33">
            <v>8.1162936985492706E-2</v>
          </cell>
          <cell r="C33">
            <v>0.91883707046508789</v>
          </cell>
          <cell r="D33" t="str">
            <v>no</v>
          </cell>
          <cell r="E33">
            <v>0.86021220684051514</v>
          </cell>
          <cell r="F33">
            <v>0.72609078884124756</v>
          </cell>
          <cell r="G33">
            <v>0.79315149784088135</v>
          </cell>
        </row>
        <row r="34">
          <cell r="A34" t="str">
            <v>Riverside</v>
          </cell>
          <cell r="B34">
            <v>0.18761590123176575</v>
          </cell>
          <cell r="C34">
            <v>0.81238412857055664</v>
          </cell>
          <cell r="D34" t="str">
            <v>no</v>
          </cell>
          <cell r="E34">
            <v>0.96312087774276733</v>
          </cell>
          <cell r="F34">
            <v>1.0591380596160889</v>
          </cell>
          <cell r="G34">
            <v>1.0111294984817505</v>
          </cell>
        </row>
        <row r="35">
          <cell r="A35" t="str">
            <v>Sacramento</v>
          </cell>
          <cell r="B35">
            <v>0.82554358243942261</v>
          </cell>
          <cell r="C35">
            <v>0.174456387758255</v>
          </cell>
          <cell r="D35" t="str">
            <v>yes</v>
          </cell>
          <cell r="E35">
            <v>1.4648549556732178</v>
          </cell>
          <cell r="F35">
            <v>1.1908683776855469</v>
          </cell>
          <cell r="G35">
            <v>1.3278616666793823</v>
          </cell>
        </row>
        <row r="36">
          <cell r="A36" t="str">
            <v>San Benito</v>
          </cell>
          <cell r="B36">
            <v>9.7038879990577698E-2</v>
          </cell>
          <cell r="C36">
            <v>0.90296107530593872</v>
          </cell>
          <cell r="D36" t="str">
            <v>no</v>
          </cell>
          <cell r="E36">
            <v>0.70356541872024536</v>
          </cell>
          <cell r="F36">
            <v>1.0319836139678955</v>
          </cell>
          <cell r="G36">
            <v>0.86777448654174805</v>
          </cell>
        </row>
        <row r="37">
          <cell r="A37" t="str">
            <v>San Bernardino</v>
          </cell>
          <cell r="B37">
            <v>0.22530075907707214</v>
          </cell>
          <cell r="C37">
            <v>0.77469921112060547</v>
          </cell>
          <cell r="D37" t="str">
            <v>no</v>
          </cell>
          <cell r="E37">
            <v>1.0450745820999146</v>
          </cell>
          <cell r="F37">
            <v>1.1494022607803345</v>
          </cell>
          <cell r="G37">
            <v>1.0972384214401245</v>
          </cell>
        </row>
        <row r="38">
          <cell r="A38" t="str">
            <v>San Diego</v>
          </cell>
          <cell r="B38">
            <v>0.16189102828502655</v>
          </cell>
          <cell r="C38">
            <v>0.83810901641845703</v>
          </cell>
          <cell r="D38" t="str">
            <v>no</v>
          </cell>
          <cell r="E38">
            <v>1.1031423807144165</v>
          </cell>
          <cell r="F38">
            <v>1.190160870552063</v>
          </cell>
          <cell r="G38">
            <v>1.1466516256332397</v>
          </cell>
        </row>
        <row r="39">
          <cell r="A39" t="str">
            <v>San Francisco</v>
          </cell>
          <cell r="B39">
            <v>0.41013878583908081</v>
          </cell>
          <cell r="C39">
            <v>0.58986121416091919</v>
          </cell>
          <cell r="D39" t="str">
            <v>no</v>
          </cell>
          <cell r="E39">
            <v>1.5989595651626587</v>
          </cell>
          <cell r="F39">
            <v>1.7261735200881958</v>
          </cell>
          <cell r="G39">
            <v>1.6625665426254272</v>
          </cell>
        </row>
        <row r="40">
          <cell r="A40" t="str">
            <v>San Joaquin</v>
          </cell>
          <cell r="B40">
            <v>0.28905907273292542</v>
          </cell>
          <cell r="C40">
            <v>0.7109408974647522</v>
          </cell>
          <cell r="D40" t="str">
            <v>no</v>
          </cell>
          <cell r="E40">
            <v>1.0429409742355347</v>
          </cell>
          <cell r="F40">
            <v>1.0693366527557373</v>
          </cell>
          <cell r="G40">
            <v>1.0561387538909912</v>
          </cell>
        </row>
        <row r="41">
          <cell r="A41" t="str">
            <v>San Luis Obispo</v>
          </cell>
          <cell r="B41">
            <v>0.4397294819355011</v>
          </cell>
          <cell r="C41">
            <v>0.56027048826217651</v>
          </cell>
          <cell r="D41" t="str">
            <v>no</v>
          </cell>
          <cell r="E41">
            <v>1.0366636514663696</v>
          </cell>
          <cell r="F41">
            <v>1.0155090093612671</v>
          </cell>
          <cell r="G41">
            <v>1.0260863304138184</v>
          </cell>
        </row>
        <row r="42">
          <cell r="A42" t="str">
            <v>San Mateo</v>
          </cell>
          <cell r="B42">
            <v>3.6470547318458557E-2</v>
          </cell>
          <cell r="C42">
            <v>0.96352946758270264</v>
          </cell>
          <cell r="D42" t="str">
            <v>no</v>
          </cell>
          <cell r="E42">
            <v>0.84428024291992188</v>
          </cell>
          <cell r="F42">
            <v>1.5910121202468872</v>
          </cell>
          <cell r="G42">
            <v>1.2176461219787598</v>
          </cell>
        </row>
        <row r="43">
          <cell r="A43" t="str">
            <v>Santa Barbara</v>
          </cell>
          <cell r="B43">
            <v>7.3394030332565308E-2</v>
          </cell>
          <cell r="C43">
            <v>0.9266059398651123</v>
          </cell>
          <cell r="D43" t="str">
            <v>no</v>
          </cell>
          <cell r="E43">
            <v>1.0061527490615845</v>
          </cell>
          <cell r="F43">
            <v>1.219468355178833</v>
          </cell>
          <cell r="G43">
            <v>1.1128106117248535</v>
          </cell>
        </row>
        <row r="44">
          <cell r="A44" t="str">
            <v>Santa Clara</v>
          </cell>
          <cell r="B44">
            <v>5.71727454662323E-2</v>
          </cell>
          <cell r="C44">
            <v>0.94282722473144531</v>
          </cell>
          <cell r="D44" t="str">
            <v>no</v>
          </cell>
          <cell r="E44">
            <v>1.0684064626693726</v>
          </cell>
          <cell r="F44">
            <v>1.4707508087158203</v>
          </cell>
          <cell r="G44">
            <v>1.2695786952972412</v>
          </cell>
        </row>
        <row r="45">
          <cell r="A45" t="str">
            <v>Santa Cruz</v>
          </cell>
          <cell r="B45">
            <v>0.1552790105342865</v>
          </cell>
          <cell r="C45">
            <v>0.84472101926803589</v>
          </cell>
          <cell r="D45" t="str">
            <v>no</v>
          </cell>
          <cell r="E45">
            <v>0.86751472949981689</v>
          </cell>
          <cell r="F45">
            <v>1.121679425239563</v>
          </cell>
          <cell r="G45">
            <v>0.99459707736968994</v>
          </cell>
        </row>
        <row r="46">
          <cell r="A46" t="str">
            <v>Shasta</v>
          </cell>
          <cell r="B46">
            <v>0.32457277178764343</v>
          </cell>
          <cell r="C46">
            <v>0.67542719841003418</v>
          </cell>
          <cell r="D46" t="str">
            <v>no</v>
          </cell>
          <cell r="E46">
            <v>1.0813899040222168</v>
          </cell>
          <cell r="F46">
            <v>0.94034713506698608</v>
          </cell>
          <cell r="G46">
            <v>1.0108685493469238</v>
          </cell>
        </row>
        <row r="47">
          <cell r="A47" t="str">
            <v>Sierra</v>
          </cell>
          <cell r="C47">
            <v>1</v>
          </cell>
          <cell r="D47" t="str">
            <v>no</v>
          </cell>
          <cell r="F47">
            <v>0.69722455739974976</v>
          </cell>
          <cell r="G47">
            <v>0.69722455739974976</v>
          </cell>
        </row>
        <row r="48">
          <cell r="A48" t="str">
            <v>Siskiyou</v>
          </cell>
          <cell r="B48">
            <v>0.29023385047912598</v>
          </cell>
          <cell r="C48">
            <v>0.7097662091255188</v>
          </cell>
          <cell r="D48" t="str">
            <v>no</v>
          </cell>
          <cell r="E48">
            <v>0.88684582710266113</v>
          </cell>
          <cell r="F48">
            <v>0.69656801223754883</v>
          </cell>
          <cell r="G48">
            <v>0.79170691967010498</v>
          </cell>
        </row>
        <row r="49">
          <cell r="A49" t="str">
            <v>Solano</v>
          </cell>
          <cell r="B49">
            <v>0.32469481229782104</v>
          </cell>
          <cell r="C49">
            <v>0.67530512809753418</v>
          </cell>
          <cell r="D49" t="str">
            <v>no</v>
          </cell>
          <cell r="E49">
            <v>1.1127429008483887</v>
          </cell>
          <cell r="F49">
            <v>1.1837702989578247</v>
          </cell>
          <cell r="G49">
            <v>1.1482565402984619</v>
          </cell>
        </row>
        <row r="50">
          <cell r="A50" t="str">
            <v>Sonoma</v>
          </cell>
          <cell r="B50">
            <v>0.10728947818279266</v>
          </cell>
          <cell r="C50">
            <v>0.89271050691604614</v>
          </cell>
          <cell r="D50" t="str">
            <v>no</v>
          </cell>
          <cell r="E50">
            <v>1.1148256063461304</v>
          </cell>
          <cell r="F50">
            <v>1.2040615081787109</v>
          </cell>
          <cell r="G50">
            <v>1.1594436168670654</v>
          </cell>
        </row>
        <row r="51">
          <cell r="A51" t="str">
            <v>Stanislaus</v>
          </cell>
          <cell r="B51">
            <v>3.5799972712993622E-2</v>
          </cell>
          <cell r="C51">
            <v>0.96420001983642578</v>
          </cell>
          <cell r="D51" t="str">
            <v>no</v>
          </cell>
          <cell r="E51">
            <v>1.034808874130249</v>
          </cell>
          <cell r="F51">
            <v>1.0330866575241089</v>
          </cell>
          <cell r="G51">
            <v>1.0339477062225342</v>
          </cell>
        </row>
        <row r="52">
          <cell r="A52" t="str">
            <v>Sutter</v>
          </cell>
          <cell r="B52">
            <v>6.0845430940389633E-2</v>
          </cell>
          <cell r="C52">
            <v>0.93915456533432007</v>
          </cell>
          <cell r="D52" t="str">
            <v>no</v>
          </cell>
          <cell r="E52">
            <v>1.1668277978897095</v>
          </cell>
          <cell r="F52">
            <v>0.9477086067199707</v>
          </cell>
          <cell r="G52">
            <v>1.0572681427001953</v>
          </cell>
        </row>
        <row r="53">
          <cell r="A53" t="str">
            <v>Tehama</v>
          </cell>
          <cell r="B53">
            <v>0.32340425252914429</v>
          </cell>
          <cell r="C53">
            <v>0.67659574747085571</v>
          </cell>
          <cell r="D53" t="str">
            <v>no</v>
          </cell>
          <cell r="E53">
            <v>0.9651065468788147</v>
          </cell>
          <cell r="F53">
            <v>0.78663307428359985</v>
          </cell>
          <cell r="G53">
            <v>0.87586981058120728</v>
          </cell>
        </row>
        <row r="54">
          <cell r="A54" t="str">
            <v>Trinity</v>
          </cell>
          <cell r="B54">
            <v>6.9733999669551849E-2</v>
          </cell>
          <cell r="C54">
            <v>0.93026596307754517</v>
          </cell>
          <cell r="D54" t="str">
            <v>no</v>
          </cell>
          <cell r="E54">
            <v>0.97413367033004761</v>
          </cell>
          <cell r="F54">
            <v>0.76225161552429199</v>
          </cell>
          <cell r="G54">
            <v>0.86819267272949219</v>
          </cell>
        </row>
        <row r="55">
          <cell r="A55" t="str">
            <v>Tulare</v>
          </cell>
          <cell r="B55">
            <v>6.6221289336681366E-2</v>
          </cell>
          <cell r="C55">
            <v>0.93377870321273804</v>
          </cell>
          <cell r="D55" t="str">
            <v>no</v>
          </cell>
          <cell r="E55">
            <v>0.86810117959976196</v>
          </cell>
          <cell r="F55">
            <v>0.95172452926635742</v>
          </cell>
          <cell r="G55">
            <v>0.9099128246307373</v>
          </cell>
        </row>
        <row r="56">
          <cell r="A56" t="str">
            <v>Tuolumne</v>
          </cell>
          <cell r="B56">
            <v>0.49309977889060974</v>
          </cell>
          <cell r="C56">
            <v>0.50690025091171265</v>
          </cell>
          <cell r="D56" t="str">
            <v>no</v>
          </cell>
          <cell r="E56">
            <v>0.90615701675415039</v>
          </cell>
          <cell r="F56">
            <v>0.83219724893569946</v>
          </cell>
          <cell r="G56">
            <v>0.86917710304260254</v>
          </cell>
        </row>
        <row r="57">
          <cell r="A57" t="str">
            <v>Ventura</v>
          </cell>
          <cell r="B57">
            <v>6.8562343716621399E-2</v>
          </cell>
          <cell r="C57">
            <v>0.93143767118453979</v>
          </cell>
          <cell r="D57" t="str">
            <v>no</v>
          </cell>
          <cell r="E57">
            <v>1.0453433990478516</v>
          </cell>
          <cell r="F57">
            <v>1.2475881576538086</v>
          </cell>
          <cell r="G57">
            <v>1.1464657783508301</v>
          </cell>
        </row>
        <row r="58">
          <cell r="A58" t="str">
            <v>Yolo</v>
          </cell>
          <cell r="B58">
            <v>0.51810646057128906</v>
          </cell>
          <cell r="C58">
            <v>0.48189353942871094</v>
          </cell>
          <cell r="D58" t="str">
            <v>yes</v>
          </cell>
          <cell r="E58">
            <v>1.5156986713409424</v>
          </cell>
          <cell r="F58">
            <v>1.0605075359344482</v>
          </cell>
          <cell r="G58">
            <v>1.2881031036376953</v>
          </cell>
        </row>
        <row r="59">
          <cell r="A59" t="str">
            <v>Yuba</v>
          </cell>
          <cell r="B59">
            <v>0.50486791133880615</v>
          </cell>
          <cell r="C59">
            <v>0.49513214826583862</v>
          </cell>
          <cell r="D59" t="str">
            <v>yes</v>
          </cell>
          <cell r="E59">
            <v>1.4608711004257202</v>
          </cell>
          <cell r="F59">
            <v>0.96661388874053955</v>
          </cell>
          <cell r="G59">
            <v>1.2137424945831299</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ow r="2">
          <cell r="B2" t="str">
            <v>Alameda</v>
          </cell>
          <cell r="C2">
            <v>56.180065155029297</v>
          </cell>
          <cell r="D2">
            <v>123.15265655517578</v>
          </cell>
          <cell r="E2">
            <v>153.62849426269531</v>
          </cell>
          <cell r="F2">
            <v>82.789352416992188</v>
          </cell>
          <cell r="G2">
            <v>39.61810302734375</v>
          </cell>
          <cell r="H2">
            <v>24.095767974853516</v>
          </cell>
          <cell r="I2">
            <v>479.46444702148438</v>
          </cell>
          <cell r="J2">
            <v>26</v>
          </cell>
          <cell r="K2">
            <v>9.6000000000000014</v>
          </cell>
          <cell r="L2">
            <v>52.652545928955078</v>
          </cell>
          <cell r="M2">
            <v>533</v>
          </cell>
          <cell r="N2">
            <v>68</v>
          </cell>
          <cell r="O2">
            <v>6.3000000000000007</v>
          </cell>
          <cell r="P2">
            <v>96</v>
          </cell>
          <cell r="Q2">
            <v>629</v>
          </cell>
        </row>
        <row r="3">
          <cell r="B3" t="str">
            <v>Alpine</v>
          </cell>
          <cell r="C3">
            <v>0.65643852949142456</v>
          </cell>
          <cell r="D3">
            <v>0.4234611988067627</v>
          </cell>
          <cell r="E3">
            <v>0.1195489689707756</v>
          </cell>
          <cell r="F3">
            <v>5.6798476725816727E-2</v>
          </cell>
          <cell r="G3">
            <v>7.0081345736980438E-2</v>
          </cell>
          <cell r="H3">
            <v>6.8945169448852539E-2</v>
          </cell>
          <cell r="I3">
            <v>1.3952736854553223</v>
          </cell>
          <cell r="J3">
            <v>0</v>
          </cell>
          <cell r="K3">
            <v>6.6000000000000005</v>
          </cell>
          <cell r="L3">
            <v>0.21140509843826294</v>
          </cell>
          <cell r="M3">
            <v>2</v>
          </cell>
          <cell r="N3">
            <v>1.0000000000000002</v>
          </cell>
          <cell r="O3">
            <v>3.5</v>
          </cell>
          <cell r="P3">
            <v>1</v>
          </cell>
          <cell r="Q3">
            <v>3</v>
          </cell>
        </row>
        <row r="4">
          <cell r="B4" t="str">
            <v>Amador</v>
          </cell>
          <cell r="C4">
            <v>1.2914408445358276</v>
          </cell>
          <cell r="D4">
            <v>12.038965225219727</v>
          </cell>
          <cell r="E4">
            <v>3.0477609634399414</v>
          </cell>
          <cell r="F4">
            <v>3.7826893329620361</v>
          </cell>
          <cell r="G4">
            <v>1.735201358795166</v>
          </cell>
          <cell r="H4">
            <v>1.0446959733963013</v>
          </cell>
          <cell r="I4">
            <v>22.940753936767578</v>
          </cell>
          <cell r="J4">
            <v>0</v>
          </cell>
          <cell r="K4">
            <v>6.6000000000000005</v>
          </cell>
          <cell r="L4">
            <v>3.4758718013763428</v>
          </cell>
          <cell r="M4">
            <v>27</v>
          </cell>
          <cell r="N4">
            <v>3</v>
          </cell>
          <cell r="O4">
            <v>3.5</v>
          </cell>
          <cell r="P4">
            <v>9</v>
          </cell>
          <cell r="Q4">
            <v>36</v>
          </cell>
        </row>
        <row r="5">
          <cell r="B5" t="str">
            <v>Butte</v>
          </cell>
          <cell r="C5">
            <v>5.8615221977233887</v>
          </cell>
          <cell r="D5">
            <v>34.794960021972656</v>
          </cell>
          <cell r="E5">
            <v>18.668230056762695</v>
          </cell>
          <cell r="F5">
            <v>19.330097198486328</v>
          </cell>
          <cell r="G5">
            <v>9.3091678619384766</v>
          </cell>
          <cell r="H5">
            <v>4.9670662879943848</v>
          </cell>
          <cell r="I5">
            <v>92.931045532226563</v>
          </cell>
          <cell r="J5">
            <v>1.1000000000000001</v>
          </cell>
          <cell r="K5">
            <v>7.8000000000000007</v>
          </cell>
          <cell r="L5">
            <v>12.055262565612793</v>
          </cell>
          <cell r="M5">
            <v>105</v>
          </cell>
          <cell r="N5">
            <v>12.199999999999998</v>
          </cell>
          <cell r="O5">
            <v>5.1000000000000005</v>
          </cell>
          <cell r="P5">
            <v>23</v>
          </cell>
          <cell r="Q5">
            <v>128</v>
          </cell>
        </row>
        <row r="6">
          <cell r="B6" t="str">
            <v>Calaveras</v>
          </cell>
          <cell r="C6">
            <v>0.89248204231262207</v>
          </cell>
          <cell r="D6">
            <v>6.5605502128601074</v>
          </cell>
          <cell r="E6">
            <v>3.3939158916473389</v>
          </cell>
          <cell r="F6">
            <v>3.8252551555633545</v>
          </cell>
          <cell r="G6">
            <v>1.7514774799346924</v>
          </cell>
          <cell r="H6">
            <v>1.6612995862960815</v>
          </cell>
          <cell r="I6">
            <v>18.084980010986328</v>
          </cell>
          <cell r="J6">
            <v>0</v>
          </cell>
          <cell r="K6">
            <v>6.6000000000000005</v>
          </cell>
          <cell r="L6">
            <v>2.7401485443115234</v>
          </cell>
          <cell r="M6">
            <v>21</v>
          </cell>
          <cell r="N6">
            <v>3.25</v>
          </cell>
          <cell r="O6">
            <v>3.5</v>
          </cell>
          <cell r="P6">
            <v>7</v>
          </cell>
          <cell r="Q6">
            <v>28</v>
          </cell>
        </row>
        <row r="7">
          <cell r="B7" t="str">
            <v>Colusa</v>
          </cell>
          <cell r="C7">
            <v>1.9903843402862549</v>
          </cell>
          <cell r="D7">
            <v>6.2600288391113281</v>
          </cell>
          <cell r="E7">
            <v>1.1018640995025635</v>
          </cell>
          <cell r="F7">
            <v>1.4687454700469971</v>
          </cell>
          <cell r="G7">
            <v>0.51774871349334717</v>
          </cell>
          <cell r="H7">
            <v>0.59314775466918945</v>
          </cell>
          <cell r="I7">
            <v>11.931919097900391</v>
          </cell>
          <cell r="J7">
            <v>0</v>
          </cell>
          <cell r="K7">
            <v>6.6000000000000005</v>
          </cell>
          <cell r="L7">
            <v>1.8078665733337402</v>
          </cell>
          <cell r="M7">
            <v>14</v>
          </cell>
          <cell r="N7">
            <v>2.1</v>
          </cell>
          <cell r="O7">
            <v>3.5</v>
          </cell>
          <cell r="P7">
            <v>5</v>
          </cell>
          <cell r="Q7">
            <v>19</v>
          </cell>
        </row>
        <row r="8">
          <cell r="B8" t="str">
            <v>Contra Costa</v>
          </cell>
          <cell r="C8">
            <v>20.571428298950195</v>
          </cell>
          <cell r="D8">
            <v>76.758872985839844</v>
          </cell>
          <cell r="E8">
            <v>90.622627258300781</v>
          </cell>
          <cell r="F8">
            <v>66.480735778808594</v>
          </cell>
          <cell r="G8">
            <v>32.69970703125</v>
          </cell>
          <cell r="H8">
            <v>15.123891830444336</v>
          </cell>
          <cell r="I8">
            <v>302.25726318359375</v>
          </cell>
          <cell r="J8">
            <v>5.7</v>
          </cell>
          <cell r="K8">
            <v>8.4</v>
          </cell>
          <cell r="L8">
            <v>36.661579132080078</v>
          </cell>
          <cell r="M8">
            <v>339</v>
          </cell>
          <cell r="N8">
            <v>11.530000000000001</v>
          </cell>
          <cell r="O8">
            <v>6.3000000000000007</v>
          </cell>
          <cell r="P8">
            <v>56</v>
          </cell>
          <cell r="Q8">
            <v>395</v>
          </cell>
        </row>
        <row r="9">
          <cell r="B9" t="str">
            <v>Del Norte</v>
          </cell>
          <cell r="C9">
            <v>1.2077783346176147</v>
          </cell>
          <cell r="D9">
            <v>8.4682292938232422</v>
          </cell>
          <cell r="E9">
            <v>1.9629535675048828</v>
          </cell>
          <cell r="F9">
            <v>3.9894864559173584</v>
          </cell>
          <cell r="G9">
            <v>1.1742557287216187</v>
          </cell>
          <cell r="H9">
            <v>1.4894884824752808</v>
          </cell>
          <cell r="I9">
            <v>18.292192459106445</v>
          </cell>
          <cell r="J9">
            <v>0</v>
          </cell>
          <cell r="K9">
            <v>6.6000000000000005</v>
          </cell>
          <cell r="L9">
            <v>2.7715442180633545</v>
          </cell>
          <cell r="M9">
            <v>22</v>
          </cell>
          <cell r="N9">
            <v>3</v>
          </cell>
          <cell r="O9">
            <v>3.5</v>
          </cell>
          <cell r="P9">
            <v>8</v>
          </cell>
          <cell r="Q9">
            <v>30</v>
          </cell>
        </row>
        <row r="10">
          <cell r="B10" t="str">
            <v>El Dorado</v>
          </cell>
          <cell r="C10">
            <v>5.5033531188964844</v>
          </cell>
          <cell r="D10">
            <v>21.824640274047852</v>
          </cell>
          <cell r="E10">
            <v>14.190164566040039</v>
          </cell>
          <cell r="F10">
            <v>13.163937568664551</v>
          </cell>
          <cell r="G10">
            <v>4.6252508163452148</v>
          </cell>
          <cell r="H10">
            <v>3.7296099662780762</v>
          </cell>
          <cell r="I10">
            <v>63.036956787109375</v>
          </cell>
          <cell r="J10">
            <v>0</v>
          </cell>
          <cell r="K10">
            <v>7.8000000000000007</v>
          </cell>
          <cell r="L10">
            <v>8.0816612243652344</v>
          </cell>
          <cell r="M10">
            <v>72</v>
          </cell>
          <cell r="N10">
            <v>2.2999999999999998</v>
          </cell>
          <cell r="O10">
            <v>5.1000000000000005</v>
          </cell>
          <cell r="P10">
            <v>15</v>
          </cell>
          <cell r="Q10">
            <v>87</v>
          </cell>
        </row>
        <row r="11">
          <cell r="B11" t="str">
            <v>Fresno</v>
          </cell>
          <cell r="C11">
            <v>28.803918838500977</v>
          </cell>
          <cell r="D11">
            <v>202.18075561523438</v>
          </cell>
          <cell r="E11">
            <v>80.564765930175781</v>
          </cell>
          <cell r="F11">
            <v>88.465057373046875</v>
          </cell>
          <cell r="G11">
            <v>35.377296447753906</v>
          </cell>
          <cell r="H11">
            <v>29.304069519042969</v>
          </cell>
          <cell r="I11">
            <v>464.69586181640625</v>
          </cell>
          <cell r="J11">
            <v>5.1000000000000005</v>
          </cell>
          <cell r="K11">
            <v>8.4</v>
          </cell>
          <cell r="L11">
            <v>55.928077697753906</v>
          </cell>
          <cell r="M11">
            <v>521</v>
          </cell>
          <cell r="N11">
            <v>16.100000000000001</v>
          </cell>
          <cell r="O11">
            <v>6.3000000000000007</v>
          </cell>
          <cell r="P11">
            <v>86</v>
          </cell>
          <cell r="Q11">
            <v>607</v>
          </cell>
        </row>
        <row r="12">
          <cell r="B12" t="str">
            <v>Glenn</v>
          </cell>
          <cell r="C12">
            <v>2.0260298252105713</v>
          </cell>
          <cell r="D12">
            <v>5.8879189491271973</v>
          </cell>
          <cell r="E12">
            <v>1.8745138645172119</v>
          </cell>
          <cell r="F12">
            <v>2.8903374671936035</v>
          </cell>
          <cell r="G12">
            <v>1.1737734079360962</v>
          </cell>
          <cell r="H12">
            <v>1.0227274894714355</v>
          </cell>
          <cell r="I12">
            <v>14.875301361083984</v>
          </cell>
          <cell r="J12">
            <v>0</v>
          </cell>
          <cell r="K12">
            <v>6.6000000000000005</v>
          </cell>
          <cell r="L12">
            <v>2.253833532333374</v>
          </cell>
          <cell r="M12">
            <v>18</v>
          </cell>
          <cell r="N12">
            <v>6.9</v>
          </cell>
          <cell r="O12">
            <v>3.5</v>
          </cell>
          <cell r="P12">
            <v>8</v>
          </cell>
          <cell r="Q12">
            <v>26</v>
          </cell>
        </row>
        <row r="13">
          <cell r="B13" t="str">
            <v>Humboldt</v>
          </cell>
          <cell r="C13">
            <v>3.4972898960113525</v>
          </cell>
          <cell r="D13">
            <v>29.666179656982422</v>
          </cell>
          <cell r="E13">
            <v>10.968196868896484</v>
          </cell>
          <cell r="F13">
            <v>12.793526649475098</v>
          </cell>
          <cell r="G13">
            <v>6.2480740547180176</v>
          </cell>
          <cell r="H13">
            <v>5.309605598449707</v>
          </cell>
          <cell r="I13">
            <v>68.482872009277344</v>
          </cell>
          <cell r="J13">
            <v>0</v>
          </cell>
          <cell r="K13">
            <v>7.8000000000000007</v>
          </cell>
          <cell r="L13">
            <v>8.7798557281494141</v>
          </cell>
          <cell r="M13">
            <v>78</v>
          </cell>
          <cell r="N13">
            <v>2.4</v>
          </cell>
          <cell r="O13">
            <v>5.1000000000000005</v>
          </cell>
          <cell r="P13">
            <v>16</v>
          </cell>
          <cell r="Q13">
            <v>94</v>
          </cell>
        </row>
        <row r="14">
          <cell r="B14" t="str">
            <v>Imperial</v>
          </cell>
          <cell r="C14">
            <v>12.66966724395752</v>
          </cell>
          <cell r="D14">
            <v>26.480661392211914</v>
          </cell>
          <cell r="E14">
            <v>10.751665115356445</v>
          </cell>
          <cell r="F14">
            <v>16.044828414916992</v>
          </cell>
          <cell r="G14">
            <v>4.6533288955688477</v>
          </cell>
          <cell r="H14">
            <v>4.7834339141845703</v>
          </cell>
          <cell r="I14">
            <v>75.383583068847656</v>
          </cell>
          <cell r="J14">
            <v>1.7000000000000002</v>
          </cell>
          <cell r="K14">
            <v>7.8000000000000007</v>
          </cell>
          <cell r="L14">
            <v>9.8825101852416992</v>
          </cell>
          <cell r="M14">
            <v>86</v>
          </cell>
          <cell r="N14">
            <v>8.5</v>
          </cell>
          <cell r="O14">
            <v>5.1000000000000005</v>
          </cell>
          <cell r="P14">
            <v>19</v>
          </cell>
          <cell r="Q14">
            <v>105</v>
          </cell>
        </row>
        <row r="15">
          <cell r="B15" t="str">
            <v>Inyo</v>
          </cell>
          <cell r="C15">
            <v>3.1838309764862061</v>
          </cell>
          <cell r="D15">
            <v>6.4740023612976074</v>
          </cell>
          <cell r="E15">
            <v>1.1241482496261597</v>
          </cell>
          <cell r="F15">
            <v>1.8676443099975586</v>
          </cell>
          <cell r="G15">
            <v>0.92501819133758545</v>
          </cell>
          <cell r="H15">
            <v>0.5412747859954834</v>
          </cell>
          <cell r="I15">
            <v>14.11591911315918</v>
          </cell>
          <cell r="J15">
            <v>0.25</v>
          </cell>
          <cell r="K15">
            <v>6.6000000000000005</v>
          </cell>
          <cell r="L15">
            <v>2.1766543388366699</v>
          </cell>
          <cell r="M15">
            <v>17</v>
          </cell>
          <cell r="N15">
            <v>3.6600000000000006</v>
          </cell>
          <cell r="O15">
            <v>3.5</v>
          </cell>
          <cell r="P15">
            <v>6</v>
          </cell>
          <cell r="Q15">
            <v>23</v>
          </cell>
        </row>
        <row r="16">
          <cell r="B16" t="str">
            <v>Kern</v>
          </cell>
          <cell r="C16">
            <v>31.230257034301758</v>
          </cell>
          <cell r="D16">
            <v>224.11691284179688</v>
          </cell>
          <cell r="E16">
            <v>71.612464904785156</v>
          </cell>
          <cell r="F16">
            <v>81.451667785644531</v>
          </cell>
          <cell r="G16">
            <v>31.308944702148438</v>
          </cell>
          <cell r="H16">
            <v>26.287284851074219</v>
          </cell>
          <cell r="I16">
            <v>466.00753784179688</v>
          </cell>
          <cell r="J16">
            <v>12</v>
          </cell>
          <cell r="K16">
            <v>8.4</v>
          </cell>
          <cell r="L16">
            <v>56.905658721923828</v>
          </cell>
          <cell r="M16">
            <v>523</v>
          </cell>
          <cell r="N16">
            <v>48</v>
          </cell>
          <cell r="O16">
            <v>6.3000000000000007</v>
          </cell>
          <cell r="P16">
            <v>91</v>
          </cell>
          <cell r="Q16">
            <v>614</v>
          </cell>
        </row>
        <row r="17">
          <cell r="B17" t="str">
            <v>Kings</v>
          </cell>
          <cell r="C17">
            <v>4.7524728775024414</v>
          </cell>
          <cell r="D17">
            <v>41.471832275390625</v>
          </cell>
          <cell r="E17">
            <v>9.99444580078125</v>
          </cell>
          <cell r="F17">
            <v>18.834140777587891</v>
          </cell>
          <cell r="G17">
            <v>4.0425896644592285</v>
          </cell>
          <cell r="H17">
            <v>6.3267993927001953</v>
          </cell>
          <cell r="I17">
            <v>85.422279357910156</v>
          </cell>
          <cell r="J17">
            <v>2.6</v>
          </cell>
          <cell r="K17">
            <v>7.8000000000000007</v>
          </cell>
          <cell r="L17">
            <v>11.284907341003418</v>
          </cell>
          <cell r="M17">
            <v>97</v>
          </cell>
          <cell r="N17">
            <v>5.6</v>
          </cell>
          <cell r="O17">
            <v>5.1000000000000005</v>
          </cell>
          <cell r="P17">
            <v>21</v>
          </cell>
          <cell r="Q17">
            <v>118</v>
          </cell>
        </row>
        <row r="18">
          <cell r="B18" t="str">
            <v>Lake</v>
          </cell>
          <cell r="C18">
            <v>1.5939978361129761</v>
          </cell>
          <cell r="D18">
            <v>25.82154655456543</v>
          </cell>
          <cell r="E18">
            <v>7.5456247329711914</v>
          </cell>
          <cell r="F18">
            <v>8.0673961639404297</v>
          </cell>
          <cell r="G18">
            <v>3.7157468795776367</v>
          </cell>
          <cell r="H18">
            <v>1.6694755554199219</v>
          </cell>
          <cell r="I18">
            <v>48.413787841796875</v>
          </cell>
          <cell r="J18">
            <v>0.25</v>
          </cell>
          <cell r="K18">
            <v>7.8000000000000007</v>
          </cell>
          <cell r="L18">
            <v>6.2389473915100098</v>
          </cell>
          <cell r="M18">
            <v>55</v>
          </cell>
          <cell r="N18">
            <v>1.95</v>
          </cell>
          <cell r="O18">
            <v>5.1000000000000005</v>
          </cell>
          <cell r="P18">
            <v>12</v>
          </cell>
          <cell r="Q18">
            <v>67</v>
          </cell>
        </row>
        <row r="19">
          <cell r="B19" t="str">
            <v>Lassen</v>
          </cell>
          <cell r="C19">
            <v>1.5816260576248169</v>
          </cell>
          <cell r="D19">
            <v>8.872166633605957</v>
          </cell>
          <cell r="E19">
            <v>1.6725516319274902</v>
          </cell>
          <cell r="F19">
            <v>3.2541639804840088</v>
          </cell>
          <cell r="G19">
            <v>0.90563464164733887</v>
          </cell>
          <cell r="H19">
            <v>0.82096242904663086</v>
          </cell>
          <cell r="I19">
            <v>17.107105255126953</v>
          </cell>
          <cell r="J19">
            <v>0</v>
          </cell>
          <cell r="K19">
            <v>6.6000000000000005</v>
          </cell>
          <cell r="L19">
            <v>2.5919857025146484</v>
          </cell>
          <cell r="M19">
            <v>20</v>
          </cell>
          <cell r="N19">
            <v>1.25</v>
          </cell>
          <cell r="O19">
            <v>3.5</v>
          </cell>
          <cell r="P19">
            <v>7</v>
          </cell>
          <cell r="Q19">
            <v>27</v>
          </cell>
        </row>
        <row r="20">
          <cell r="B20" t="str">
            <v>Los Angeles</v>
          </cell>
          <cell r="C20">
            <v>252.29533386230469</v>
          </cell>
          <cell r="D20">
            <v>930.92864990234375</v>
          </cell>
          <cell r="E20">
            <v>1265.080322265625</v>
          </cell>
          <cell r="F20">
            <v>767.181396484375</v>
          </cell>
          <cell r="G20">
            <v>316.49749755859375</v>
          </cell>
          <cell r="H20">
            <v>269.72467041015625</v>
          </cell>
          <cell r="I20">
            <v>3801.707763671875</v>
          </cell>
          <cell r="J20">
            <v>209</v>
          </cell>
          <cell r="K20">
            <v>9.6000000000000014</v>
          </cell>
          <cell r="L20">
            <v>417.78204345703125</v>
          </cell>
          <cell r="M20">
            <v>4220</v>
          </cell>
          <cell r="N20">
            <v>432</v>
          </cell>
          <cell r="O20">
            <v>6.3000000000000007</v>
          </cell>
          <cell r="P20">
            <v>739</v>
          </cell>
          <cell r="Q20">
            <v>4959</v>
          </cell>
        </row>
        <row r="21">
          <cell r="B21" t="str">
            <v>Madera</v>
          </cell>
          <cell r="C21">
            <v>5.4390444755554199</v>
          </cell>
          <cell r="D21">
            <v>40.684547424316406</v>
          </cell>
          <cell r="E21">
            <v>12.90003776550293</v>
          </cell>
          <cell r="F21">
            <v>23.597621917724609</v>
          </cell>
          <cell r="G21">
            <v>5.4285354614257813</v>
          </cell>
          <cell r="H21">
            <v>8.2789163589477539</v>
          </cell>
          <cell r="I21">
            <v>96.328704833984375</v>
          </cell>
          <cell r="J21">
            <v>3</v>
          </cell>
          <cell r="K21">
            <v>7.8000000000000007</v>
          </cell>
          <cell r="L21">
            <v>12.73444938659668</v>
          </cell>
          <cell r="M21">
            <v>110</v>
          </cell>
          <cell r="N21">
            <v>5.86</v>
          </cell>
          <cell r="O21">
            <v>5.1000000000000005</v>
          </cell>
          <cell r="P21">
            <v>23</v>
          </cell>
          <cell r="Q21">
            <v>133</v>
          </cell>
        </row>
        <row r="22">
          <cell r="B22" t="str">
            <v>Marin</v>
          </cell>
          <cell r="C22">
            <v>9.0857753753662109</v>
          </cell>
          <cell r="D22">
            <v>22.866546630859375</v>
          </cell>
          <cell r="E22">
            <v>16.833639144897461</v>
          </cell>
          <cell r="F22">
            <v>13.224203109741211</v>
          </cell>
          <cell r="G22">
            <v>11.303020477294922</v>
          </cell>
          <cell r="H22">
            <v>3.1667881011962891</v>
          </cell>
          <cell r="I22">
            <v>76.479972839355469</v>
          </cell>
          <cell r="J22">
            <v>4.75</v>
          </cell>
          <cell r="K22">
            <v>7.8000000000000007</v>
          </cell>
          <cell r="L22">
            <v>10.414098739624023</v>
          </cell>
          <cell r="M22">
            <v>87</v>
          </cell>
          <cell r="N22">
            <v>7.25</v>
          </cell>
          <cell r="O22">
            <v>5.1000000000000005</v>
          </cell>
          <cell r="P22">
            <v>19</v>
          </cell>
          <cell r="Q22">
            <v>106</v>
          </cell>
        </row>
        <row r="23">
          <cell r="B23" t="str">
            <v>Mariposa</v>
          </cell>
          <cell r="C23">
            <v>0.61246359348297119</v>
          </cell>
          <cell r="D23">
            <v>4.6290221214294434</v>
          </cell>
          <cell r="E23">
            <v>0.85538822412490845</v>
          </cell>
          <cell r="F23">
            <v>1.3856648206710815</v>
          </cell>
          <cell r="G23">
            <v>0.56761586666107178</v>
          </cell>
          <cell r="H23">
            <v>0.69538068771362305</v>
          </cell>
          <cell r="I23">
            <v>8.7455348968505859</v>
          </cell>
          <cell r="J23">
            <v>0</v>
          </cell>
          <cell r="K23">
            <v>6.6000000000000005</v>
          </cell>
          <cell r="L23">
            <v>1.3250809907913208</v>
          </cell>
          <cell r="M23">
            <v>11</v>
          </cell>
          <cell r="N23">
            <v>2.3000000000000003</v>
          </cell>
          <cell r="O23">
            <v>3.5</v>
          </cell>
          <cell r="P23">
            <v>4</v>
          </cell>
          <cell r="Q23">
            <v>15</v>
          </cell>
        </row>
        <row r="24">
          <cell r="B24" t="str">
            <v>Mendocino</v>
          </cell>
          <cell r="C24">
            <v>4.9240851402282715</v>
          </cell>
          <cell r="D24">
            <v>23.987146377563477</v>
          </cell>
          <cell r="E24">
            <v>7.3824238777160645</v>
          </cell>
          <cell r="F24">
            <v>8.4009599685668945</v>
          </cell>
          <cell r="G24">
            <v>2.7112963199615479</v>
          </cell>
          <cell r="H24">
            <v>3.7301511764526367</v>
          </cell>
          <cell r="I24">
            <v>51.136062622070313</v>
          </cell>
          <cell r="J24">
            <v>1</v>
          </cell>
          <cell r="K24">
            <v>7.8000000000000007</v>
          </cell>
          <cell r="L24">
            <v>6.6841106414794922</v>
          </cell>
          <cell r="M24">
            <v>58</v>
          </cell>
          <cell r="N24">
            <v>4.1500000000000004</v>
          </cell>
          <cell r="O24">
            <v>5.1000000000000005</v>
          </cell>
          <cell r="P24">
            <v>13</v>
          </cell>
          <cell r="Q24">
            <v>71</v>
          </cell>
        </row>
        <row r="25">
          <cell r="B25" t="str">
            <v>Merced</v>
          </cell>
          <cell r="C25">
            <v>10.047098159790039</v>
          </cell>
          <cell r="D25">
            <v>53.1861572265625</v>
          </cell>
          <cell r="E25">
            <v>23.134176254272461</v>
          </cell>
          <cell r="F25">
            <v>23.120695114135742</v>
          </cell>
          <cell r="G25">
            <v>7.2075872421264648</v>
          </cell>
          <cell r="H25">
            <v>9.1137161254882813</v>
          </cell>
          <cell r="I25">
            <v>125.80943298339844</v>
          </cell>
          <cell r="J25">
            <v>3.5</v>
          </cell>
          <cell r="K25">
            <v>7.8000000000000007</v>
          </cell>
          <cell r="L25">
            <v>16.578132629394531</v>
          </cell>
          <cell r="M25">
            <v>143</v>
          </cell>
          <cell r="N25">
            <v>11.5</v>
          </cell>
          <cell r="O25">
            <v>5.1000000000000005</v>
          </cell>
          <cell r="P25">
            <v>31</v>
          </cell>
          <cell r="Q25">
            <v>174</v>
          </cell>
        </row>
        <row r="26">
          <cell r="B26" t="str">
            <v>Modoc</v>
          </cell>
          <cell r="C26">
            <v>0.50528252124786377</v>
          </cell>
          <cell r="D26">
            <v>3.5425221920013428</v>
          </cell>
          <cell r="E26">
            <v>0.68557143211364746</v>
          </cell>
          <cell r="F26">
            <v>1.4728659391403198</v>
          </cell>
          <cell r="G26">
            <v>0.61696958541870117</v>
          </cell>
          <cell r="H26">
            <v>0.66927379369735718</v>
          </cell>
          <cell r="I26">
            <v>7.492485523223877</v>
          </cell>
          <cell r="J26">
            <v>0</v>
          </cell>
          <cell r="K26">
            <v>6.6000000000000005</v>
          </cell>
          <cell r="L26">
            <v>1.1352250576019287</v>
          </cell>
          <cell r="M26">
            <v>9</v>
          </cell>
          <cell r="N26">
            <v>1.8</v>
          </cell>
          <cell r="O26">
            <v>3.5</v>
          </cell>
          <cell r="P26">
            <v>4</v>
          </cell>
          <cell r="Q26">
            <v>13</v>
          </cell>
        </row>
        <row r="27">
          <cell r="B27" t="str">
            <v>Mono</v>
          </cell>
          <cell r="C27">
            <v>2.1762058734893799</v>
          </cell>
          <cell r="D27">
            <v>3.0276763439178467</v>
          </cell>
          <cell r="E27">
            <v>0.8934934139251709</v>
          </cell>
          <cell r="F27">
            <v>0.81894582509994507</v>
          </cell>
          <cell r="G27">
            <v>0.28429347276687622</v>
          </cell>
          <cell r="H27">
            <v>0.24541261792182922</v>
          </cell>
          <cell r="I27">
            <v>7.4460277557373047</v>
          </cell>
          <cell r="J27">
            <v>0.60000000000000009</v>
          </cell>
          <cell r="K27">
            <v>6.6000000000000005</v>
          </cell>
          <cell r="L27">
            <v>1.2190951108932495</v>
          </cell>
          <cell r="M27">
            <v>9</v>
          </cell>
          <cell r="N27">
            <v>1.615</v>
          </cell>
          <cell r="O27">
            <v>3.5</v>
          </cell>
          <cell r="P27">
            <v>4</v>
          </cell>
          <cell r="Q27">
            <v>13</v>
          </cell>
        </row>
        <row r="28">
          <cell r="B28" t="str">
            <v>Monterey</v>
          </cell>
          <cell r="C28">
            <v>11.943285942077637</v>
          </cell>
          <cell r="D28">
            <v>77.596725463867188</v>
          </cell>
          <cell r="E28">
            <v>27.230247497558594</v>
          </cell>
          <cell r="F28">
            <v>28.755123138427734</v>
          </cell>
          <cell r="G28">
            <v>12.03093147277832</v>
          </cell>
          <cell r="H28">
            <v>10.920454025268555</v>
          </cell>
          <cell r="I28">
            <v>168.47676086425781</v>
          </cell>
          <cell r="J28">
            <v>8</v>
          </cell>
          <cell r="K28">
            <v>8.4</v>
          </cell>
          <cell r="L28">
            <v>21.009138107299805</v>
          </cell>
          <cell r="M28">
            <v>190</v>
          </cell>
          <cell r="N28">
            <v>13.2</v>
          </cell>
          <cell r="O28">
            <v>6.3000000000000007</v>
          </cell>
          <cell r="P28">
            <v>33</v>
          </cell>
          <cell r="Q28">
            <v>223</v>
          </cell>
        </row>
        <row r="29">
          <cell r="B29" t="str">
            <v>Napa</v>
          </cell>
          <cell r="C29">
            <v>5.0563774108886719</v>
          </cell>
          <cell r="D29">
            <v>21.34620475769043</v>
          </cell>
          <cell r="E29">
            <v>10.715941429138184</v>
          </cell>
          <cell r="F29">
            <v>8.8627405166625977</v>
          </cell>
          <cell r="G29">
            <v>4.8586139678955078</v>
          </cell>
          <cell r="H29">
            <v>3.1717977523803711</v>
          </cell>
          <cell r="I29">
            <v>54.011676788330078</v>
          </cell>
          <cell r="J29">
            <v>0</v>
          </cell>
          <cell r="K29">
            <v>7.8000000000000007</v>
          </cell>
          <cell r="L29">
            <v>6.9245738983154297</v>
          </cell>
          <cell r="M29">
            <v>61</v>
          </cell>
          <cell r="N29">
            <v>2.5</v>
          </cell>
          <cell r="O29">
            <v>5.1000000000000005</v>
          </cell>
          <cell r="P29">
            <v>13</v>
          </cell>
          <cell r="Q29">
            <v>74</v>
          </cell>
        </row>
        <row r="30">
          <cell r="B30" t="str">
            <v>Nevada</v>
          </cell>
          <cell r="C30">
            <v>3.2178840637207031</v>
          </cell>
          <cell r="D30">
            <v>13.073994636535645</v>
          </cell>
          <cell r="E30">
            <v>8.4734392166137695</v>
          </cell>
          <cell r="F30">
            <v>9.0776138305664063</v>
          </cell>
          <cell r="G30">
            <v>3.4989211559295654</v>
          </cell>
          <cell r="H30">
            <v>1.4289692640304565</v>
          </cell>
          <cell r="I30">
            <v>38.770820617675781</v>
          </cell>
          <cell r="J30">
            <v>0</v>
          </cell>
          <cell r="K30">
            <v>7.8000000000000007</v>
          </cell>
          <cell r="L30">
            <v>4.9706182479858398</v>
          </cell>
          <cell r="M30">
            <v>44</v>
          </cell>
          <cell r="N30">
            <v>5.6</v>
          </cell>
          <cell r="O30">
            <v>5.1000000000000005</v>
          </cell>
          <cell r="P30">
            <v>10</v>
          </cell>
          <cell r="Q30">
            <v>54</v>
          </cell>
        </row>
        <row r="31">
          <cell r="B31" t="str">
            <v>Orange</v>
          </cell>
          <cell r="C31">
            <v>84.502220153808594</v>
          </cell>
          <cell r="D31">
            <v>478.97006225585938</v>
          </cell>
          <cell r="E31">
            <v>295.05462646484375</v>
          </cell>
          <cell r="F31">
            <v>197.7154541015625</v>
          </cell>
          <cell r="G31">
            <v>65.954971313476563</v>
          </cell>
          <cell r="H31">
            <v>56.762615203857422</v>
          </cell>
          <cell r="I31">
            <v>1178.9599609375</v>
          </cell>
          <cell r="J31">
            <v>50.587500000000006</v>
          </cell>
          <cell r="K31">
            <v>9.6000000000000014</v>
          </cell>
          <cell r="L31">
            <v>128.07786560058594</v>
          </cell>
          <cell r="M31">
            <v>1308</v>
          </cell>
          <cell r="N31">
            <v>161.86750000000001</v>
          </cell>
          <cell r="O31">
            <v>6.3000000000000007</v>
          </cell>
          <cell r="P31">
            <v>234</v>
          </cell>
          <cell r="Q31">
            <v>1542</v>
          </cell>
        </row>
        <row r="32">
          <cell r="B32" t="str">
            <v>Placer</v>
          </cell>
          <cell r="C32">
            <v>8.7307910919189453</v>
          </cell>
          <cell r="D32">
            <v>63.351081848144531</v>
          </cell>
          <cell r="E32">
            <v>29.464700698852539</v>
          </cell>
          <cell r="F32">
            <v>29.083776473999023</v>
          </cell>
          <cell r="G32">
            <v>10.821035385131836</v>
          </cell>
          <cell r="H32">
            <v>7.3992314338684082</v>
          </cell>
          <cell r="I32">
            <v>148.85061645507813</v>
          </cell>
          <cell r="J32">
            <v>2.9</v>
          </cell>
          <cell r="K32">
            <v>7.8000000000000007</v>
          </cell>
          <cell r="L32">
            <v>19.455207824707031</v>
          </cell>
          <cell r="M32">
            <v>169</v>
          </cell>
          <cell r="N32">
            <v>8.9</v>
          </cell>
          <cell r="O32">
            <v>5.1000000000000005</v>
          </cell>
          <cell r="P32">
            <v>35</v>
          </cell>
          <cell r="Q32">
            <v>204</v>
          </cell>
        </row>
        <row r="33">
          <cell r="B33" t="str">
            <v>Plumas</v>
          </cell>
          <cell r="C33">
            <v>0.72282958030700684</v>
          </cell>
          <cell r="D33">
            <v>2.7957463264465332</v>
          </cell>
          <cell r="E33">
            <v>1.3164623975753784</v>
          </cell>
          <cell r="F33">
            <v>1.6831988096237183</v>
          </cell>
          <cell r="G33">
            <v>0.77338457107543945</v>
          </cell>
          <cell r="H33">
            <v>0.69184362888336182</v>
          </cell>
          <cell r="I33">
            <v>7.9834651947021484</v>
          </cell>
          <cell r="J33">
            <v>0</v>
          </cell>
          <cell r="K33">
            <v>6.6000000000000005</v>
          </cell>
          <cell r="L33">
            <v>1.20961594581604</v>
          </cell>
          <cell r="M33">
            <v>10</v>
          </cell>
          <cell r="N33">
            <v>1.55</v>
          </cell>
          <cell r="O33">
            <v>3.5</v>
          </cell>
          <cell r="P33">
            <v>4</v>
          </cell>
          <cell r="Q33">
            <v>14</v>
          </cell>
        </row>
        <row r="34">
          <cell r="B34" t="str">
            <v>Riverside</v>
          </cell>
          <cell r="C34">
            <v>63.335968017578125</v>
          </cell>
          <cell r="D34">
            <v>368.19711303710938</v>
          </cell>
          <cell r="E34">
            <v>223.24296569824219</v>
          </cell>
          <cell r="F34">
            <v>200.31802368164063</v>
          </cell>
          <cell r="G34">
            <v>69.119255065917969</v>
          </cell>
          <cell r="H34">
            <v>68.912666320800781</v>
          </cell>
          <cell r="I34">
            <v>993.1259765625</v>
          </cell>
          <cell r="J34">
            <v>34.439999999999991</v>
          </cell>
          <cell r="K34">
            <v>9.6000000000000014</v>
          </cell>
          <cell r="L34">
            <v>107.03812408447266</v>
          </cell>
          <cell r="M34">
            <v>1101</v>
          </cell>
          <cell r="N34">
            <v>116.44</v>
          </cell>
          <cell r="O34">
            <v>6.3000000000000007</v>
          </cell>
          <cell r="P34">
            <v>194</v>
          </cell>
          <cell r="Q34">
            <v>1295</v>
          </cell>
        </row>
        <row r="35">
          <cell r="B35" t="str">
            <v>Sacramento</v>
          </cell>
          <cell r="C35">
            <v>41.351341247558594</v>
          </cell>
          <cell r="D35">
            <v>244.74555969238281</v>
          </cell>
          <cell r="E35">
            <v>169.02998352050781</v>
          </cell>
          <cell r="F35">
            <v>123.19439697265625</v>
          </cell>
          <cell r="G35">
            <v>56.547992706298828</v>
          </cell>
          <cell r="H35">
            <v>24.933010101318359</v>
          </cell>
          <cell r="I35">
            <v>659.80230712890625</v>
          </cell>
          <cell r="J35">
            <v>21.78</v>
          </cell>
          <cell r="K35">
            <v>9.6000000000000014</v>
          </cell>
          <cell r="L35">
            <v>70.998153686523438</v>
          </cell>
          <cell r="M35">
            <v>731</v>
          </cell>
          <cell r="N35">
            <v>55.500000000000007</v>
          </cell>
          <cell r="O35">
            <v>6.3000000000000007</v>
          </cell>
          <cell r="P35">
            <v>125</v>
          </cell>
          <cell r="Q35">
            <v>856</v>
          </cell>
        </row>
        <row r="36">
          <cell r="B36" t="str">
            <v>San Benito</v>
          </cell>
          <cell r="C36">
            <v>1.8362884521484375</v>
          </cell>
          <cell r="D36">
            <v>10.152573585510254</v>
          </cell>
          <cell r="E36">
            <v>4.3488707542419434</v>
          </cell>
          <cell r="F36">
            <v>5.1903109550476074</v>
          </cell>
          <cell r="G36">
            <v>1.6821250915527344</v>
          </cell>
          <cell r="H36">
            <v>2.216184139251709</v>
          </cell>
          <cell r="I36">
            <v>25.426353454589844</v>
          </cell>
          <cell r="J36">
            <v>0</v>
          </cell>
          <cell r="K36">
            <v>6.6000000000000005</v>
          </cell>
          <cell r="L36">
            <v>3.8524777889251709</v>
          </cell>
          <cell r="M36">
            <v>30</v>
          </cell>
          <cell r="N36">
            <v>4.25</v>
          </cell>
          <cell r="O36">
            <v>3.5</v>
          </cell>
          <cell r="P36">
            <v>10</v>
          </cell>
          <cell r="Q36">
            <v>40</v>
          </cell>
        </row>
        <row r="37">
          <cell r="B37" t="str">
            <v>San Bernardino</v>
          </cell>
          <cell r="C37">
            <v>53.299892425537109</v>
          </cell>
          <cell r="D37">
            <v>406.35659790039063</v>
          </cell>
          <cell r="E37">
            <v>221.55450439453125</v>
          </cell>
          <cell r="F37">
            <v>197.68611145019531</v>
          </cell>
          <cell r="G37">
            <v>71.990791320800781</v>
          </cell>
          <cell r="H37">
            <v>67.874565124511719</v>
          </cell>
          <cell r="I37">
            <v>1018.762451171875</v>
          </cell>
          <cell r="J37">
            <v>42</v>
          </cell>
          <cell r="K37">
            <v>9.6000000000000014</v>
          </cell>
          <cell r="L37">
            <v>110.49608612060547</v>
          </cell>
          <cell r="M37">
            <v>1130</v>
          </cell>
          <cell r="N37">
            <v>104.38</v>
          </cell>
          <cell r="O37">
            <v>6.3000000000000007</v>
          </cell>
          <cell r="P37">
            <v>196</v>
          </cell>
          <cell r="Q37">
            <v>1326</v>
          </cell>
        </row>
        <row r="38">
          <cell r="B38" t="str">
            <v>San Diego</v>
          </cell>
          <cell r="C38">
            <v>61.664188385009766</v>
          </cell>
          <cell r="D38">
            <v>323.35995483398438</v>
          </cell>
          <cell r="E38">
            <v>285.24032592773438</v>
          </cell>
          <cell r="F38">
            <v>239.19305419921875</v>
          </cell>
          <cell r="G38">
            <v>65.134140014648438</v>
          </cell>
          <cell r="H38">
            <v>29.150074005126953</v>
          </cell>
          <cell r="I38">
            <v>1003.7417602539063</v>
          </cell>
          <cell r="J38">
            <v>27.1</v>
          </cell>
          <cell r="K38">
            <v>9.6000000000000014</v>
          </cell>
          <cell r="L38">
            <v>107.37934875488281</v>
          </cell>
          <cell r="M38">
            <v>1112</v>
          </cell>
          <cell r="N38">
            <v>73.772999999999982</v>
          </cell>
          <cell r="O38">
            <v>6.3000000000000007</v>
          </cell>
          <cell r="P38">
            <v>189</v>
          </cell>
          <cell r="Q38">
            <v>1301</v>
          </cell>
        </row>
        <row r="39">
          <cell r="B39" t="str">
            <v>San Francisco</v>
          </cell>
          <cell r="C39">
            <v>13.451416969299316</v>
          </cell>
          <cell r="D39">
            <v>78.099128723144531</v>
          </cell>
          <cell r="E39">
            <v>86.220939636230469</v>
          </cell>
          <cell r="F39">
            <v>38.783580780029297</v>
          </cell>
          <cell r="G39">
            <v>21.001514434814453</v>
          </cell>
          <cell r="H39">
            <v>13.176934242248535</v>
          </cell>
          <cell r="I39">
            <v>250.7335205078125</v>
          </cell>
          <cell r="J39">
            <v>0</v>
          </cell>
          <cell r="K39">
            <v>8.4</v>
          </cell>
          <cell r="L39">
            <v>29.849227905273438</v>
          </cell>
          <cell r="M39">
            <v>281</v>
          </cell>
          <cell r="N39">
            <v>35</v>
          </cell>
          <cell r="O39">
            <v>6.3000000000000007</v>
          </cell>
          <cell r="P39">
            <v>51</v>
          </cell>
          <cell r="Q39">
            <v>332</v>
          </cell>
        </row>
        <row r="40">
          <cell r="B40" t="str">
            <v>San Joaquin</v>
          </cell>
          <cell r="C40">
            <v>18.101852416992188</v>
          </cell>
          <cell r="D40">
            <v>140.47880554199219</v>
          </cell>
          <cell r="E40">
            <v>64.842247009277344</v>
          </cell>
          <cell r="F40">
            <v>58.239810943603516</v>
          </cell>
          <cell r="G40">
            <v>24.322505950927734</v>
          </cell>
          <cell r="H40">
            <v>21.700889587402344</v>
          </cell>
          <cell r="I40">
            <v>327.68609619140625</v>
          </cell>
          <cell r="J40">
            <v>4</v>
          </cell>
          <cell r="K40">
            <v>8.4</v>
          </cell>
          <cell r="L40">
            <v>39.486438751220703</v>
          </cell>
          <cell r="M40">
            <v>368</v>
          </cell>
          <cell r="N40">
            <v>9.89</v>
          </cell>
          <cell r="O40">
            <v>6.3000000000000007</v>
          </cell>
          <cell r="P40">
            <v>60</v>
          </cell>
          <cell r="Q40">
            <v>428</v>
          </cell>
        </row>
        <row r="41">
          <cell r="B41" t="str">
            <v>San Luis Obispo</v>
          </cell>
          <cell r="C41">
            <v>12.114407539367676</v>
          </cell>
          <cell r="D41">
            <v>56.743057250976563</v>
          </cell>
          <cell r="E41">
            <v>15.564111709594727</v>
          </cell>
          <cell r="F41">
            <v>15.554181098937988</v>
          </cell>
          <cell r="G41">
            <v>8.098027229309082</v>
          </cell>
          <cell r="H41">
            <v>4.8456077575683594</v>
          </cell>
          <cell r="I41">
            <v>112.91939544677734</v>
          </cell>
          <cell r="J41">
            <v>2</v>
          </cell>
          <cell r="K41">
            <v>7.8000000000000007</v>
          </cell>
          <cell r="L41">
            <v>14.733255386352539</v>
          </cell>
          <cell r="M41">
            <v>128</v>
          </cell>
          <cell r="N41">
            <v>5</v>
          </cell>
          <cell r="O41">
            <v>5.1000000000000005</v>
          </cell>
          <cell r="P41">
            <v>27</v>
          </cell>
          <cell r="Q41">
            <v>155</v>
          </cell>
        </row>
        <row r="42">
          <cell r="B42" t="str">
            <v>San Mateo</v>
          </cell>
          <cell r="C42">
            <v>24.876926422119141</v>
          </cell>
          <cell r="D42">
            <v>90.787872314453125</v>
          </cell>
          <cell r="E42">
            <v>44.522991180419922</v>
          </cell>
          <cell r="F42">
            <v>33.348430633544922</v>
          </cell>
          <cell r="G42">
            <v>21.557395935058594</v>
          </cell>
          <cell r="H42">
            <v>7.368858814239502</v>
          </cell>
          <cell r="I42">
            <v>222.46247863769531</v>
          </cell>
          <cell r="J42">
            <v>9</v>
          </cell>
          <cell r="K42">
            <v>8.4</v>
          </cell>
          <cell r="L42">
            <v>27.555057525634766</v>
          </cell>
          <cell r="M42">
            <v>251</v>
          </cell>
          <cell r="N42">
            <v>16</v>
          </cell>
          <cell r="O42">
            <v>6.3000000000000007</v>
          </cell>
          <cell r="P42">
            <v>43</v>
          </cell>
          <cell r="Q42">
            <v>294</v>
          </cell>
        </row>
        <row r="43">
          <cell r="B43" t="str">
            <v>Santa Barbara</v>
          </cell>
          <cell r="C43">
            <v>13.298545837402344</v>
          </cell>
          <cell r="D43">
            <v>73.844558715820313</v>
          </cell>
          <cell r="E43">
            <v>28.520225524902344</v>
          </cell>
          <cell r="F43">
            <v>24.967090606689453</v>
          </cell>
          <cell r="G43">
            <v>11.208468437194824</v>
          </cell>
          <cell r="H43">
            <v>11.48043155670166</v>
          </cell>
          <cell r="I43">
            <v>163.31932067871094</v>
          </cell>
          <cell r="J43">
            <v>10</v>
          </cell>
          <cell r="K43">
            <v>8.4</v>
          </cell>
          <cell r="L43">
            <v>20.63325309753418</v>
          </cell>
          <cell r="M43">
            <v>184</v>
          </cell>
          <cell r="N43">
            <v>16.875</v>
          </cell>
          <cell r="O43">
            <v>6.3000000000000007</v>
          </cell>
          <cell r="P43">
            <v>32</v>
          </cell>
          <cell r="Q43">
            <v>216</v>
          </cell>
        </row>
        <row r="44">
          <cell r="B44" t="str">
            <v>Santa Clara</v>
          </cell>
          <cell r="C44">
            <v>32.451629638671875</v>
          </cell>
          <cell r="D44">
            <v>203.90313720703125</v>
          </cell>
          <cell r="E44">
            <v>122.93948364257813</v>
          </cell>
          <cell r="F44">
            <v>85.11627197265625</v>
          </cell>
          <cell r="G44">
            <v>39.615512847900391</v>
          </cell>
          <cell r="H44">
            <v>17.627975463867188</v>
          </cell>
          <cell r="I44">
            <v>501.65402221679688</v>
          </cell>
          <cell r="J44">
            <v>17.5</v>
          </cell>
          <cell r="K44">
            <v>9.6000000000000014</v>
          </cell>
          <cell r="L44">
            <v>54.078544616699219</v>
          </cell>
          <cell r="M44">
            <v>556</v>
          </cell>
          <cell r="N44">
            <v>29.95</v>
          </cell>
          <cell r="O44">
            <v>6.3000000000000007</v>
          </cell>
          <cell r="P44">
            <v>94</v>
          </cell>
          <cell r="Q44">
            <v>650</v>
          </cell>
        </row>
        <row r="45">
          <cell r="B45" t="str">
            <v>Santa Cruz</v>
          </cell>
          <cell r="C45">
            <v>7.7548918724060059</v>
          </cell>
          <cell r="D45">
            <v>44.201412200927734</v>
          </cell>
          <cell r="E45">
            <v>15.775079727172852</v>
          </cell>
          <cell r="F45">
            <v>14.199016571044922</v>
          </cell>
          <cell r="G45">
            <v>5.7370967864990234</v>
          </cell>
          <cell r="H45">
            <v>3.7534809112548828</v>
          </cell>
          <cell r="I45">
            <v>91.420974731445313</v>
          </cell>
          <cell r="J45">
            <v>2</v>
          </cell>
          <cell r="K45">
            <v>7.8000000000000007</v>
          </cell>
          <cell r="L45">
            <v>11.977047920227051</v>
          </cell>
          <cell r="M45">
            <v>104</v>
          </cell>
          <cell r="N45">
            <v>10</v>
          </cell>
          <cell r="O45">
            <v>5.1000000000000005</v>
          </cell>
          <cell r="P45">
            <v>23</v>
          </cell>
          <cell r="Q45">
            <v>127</v>
          </cell>
        </row>
        <row r="46">
          <cell r="B46" t="str">
            <v>Shasta</v>
          </cell>
          <cell r="C46">
            <v>11.006093978881836</v>
          </cell>
          <cell r="D46">
            <v>59.206424713134766</v>
          </cell>
          <cell r="E46">
            <v>16.263172149658203</v>
          </cell>
          <cell r="F46">
            <v>21.028097152709961</v>
          </cell>
          <cell r="G46">
            <v>8.8850212097167969</v>
          </cell>
          <cell r="H46">
            <v>6.3475761413574219</v>
          </cell>
          <cell r="I46">
            <v>122.73638916015625</v>
          </cell>
          <cell r="J46">
            <v>1</v>
          </cell>
          <cell r="K46">
            <v>7.8000000000000007</v>
          </cell>
          <cell r="L46">
            <v>15.863639831542969</v>
          </cell>
          <cell r="M46">
            <v>139</v>
          </cell>
          <cell r="N46">
            <v>44.495000000000005</v>
          </cell>
          <cell r="O46">
            <v>5.1000000000000005</v>
          </cell>
          <cell r="P46">
            <v>36</v>
          </cell>
          <cell r="Q46">
            <v>175</v>
          </cell>
        </row>
        <row r="47">
          <cell r="B47" t="str">
            <v>Sierra</v>
          </cell>
          <cell r="C47">
            <v>0.15519829094409943</v>
          </cell>
          <cell r="D47">
            <v>0.73073422908782959</v>
          </cell>
          <cell r="E47">
            <v>0.18522800505161285</v>
          </cell>
          <cell r="F47">
            <v>0.21829737722873688</v>
          </cell>
          <cell r="G47">
            <v>0.13794425129890442</v>
          </cell>
          <cell r="H47">
            <v>0.13016209006309509</v>
          </cell>
          <cell r="I47">
            <v>1.5575642585754395</v>
          </cell>
          <cell r="J47">
            <v>0</v>
          </cell>
          <cell r="K47">
            <v>6.6000000000000005</v>
          </cell>
          <cell r="L47">
            <v>0.23599457740783691</v>
          </cell>
          <cell r="M47">
            <v>2</v>
          </cell>
          <cell r="N47">
            <v>2.1</v>
          </cell>
          <cell r="O47">
            <v>3.5</v>
          </cell>
          <cell r="P47">
            <v>2</v>
          </cell>
          <cell r="Q47">
            <v>4</v>
          </cell>
        </row>
        <row r="48">
          <cell r="B48" t="str">
            <v>Siskiyou</v>
          </cell>
          <cell r="C48">
            <v>3.74068284034729</v>
          </cell>
          <cell r="D48">
            <v>14.736237525939941</v>
          </cell>
          <cell r="E48">
            <v>3.8611330986022949</v>
          </cell>
          <cell r="F48">
            <v>5.1685996055603027</v>
          </cell>
          <cell r="G48">
            <v>2.552924633026123</v>
          </cell>
          <cell r="H48">
            <v>1.3830899000167847</v>
          </cell>
          <cell r="I48">
            <v>31.442667007446289</v>
          </cell>
          <cell r="J48">
            <v>0.05</v>
          </cell>
          <cell r="K48">
            <v>7.8000000000000007</v>
          </cell>
          <cell r="L48">
            <v>4.0375213623046875</v>
          </cell>
          <cell r="M48">
            <v>36</v>
          </cell>
          <cell r="N48">
            <v>4.55</v>
          </cell>
          <cell r="O48">
            <v>5.1000000000000005</v>
          </cell>
          <cell r="P48">
            <v>8</v>
          </cell>
          <cell r="Q48">
            <v>44</v>
          </cell>
        </row>
        <row r="49">
          <cell r="B49" t="str">
            <v>Solano</v>
          </cell>
          <cell r="C49">
            <v>12.807104110717773</v>
          </cell>
          <cell r="D49">
            <v>52.696315765380859</v>
          </cell>
          <cell r="E49">
            <v>40.222953796386719</v>
          </cell>
          <cell r="F49">
            <v>37.820476531982422</v>
          </cell>
          <cell r="G49">
            <v>13.268350601196289</v>
          </cell>
          <cell r="H49">
            <v>5.1811513900756836</v>
          </cell>
          <cell r="I49">
            <v>161.99635314941406</v>
          </cell>
          <cell r="J49">
            <v>3</v>
          </cell>
          <cell r="K49">
            <v>8.4</v>
          </cell>
          <cell r="L49">
            <v>19.642423629760742</v>
          </cell>
          <cell r="M49">
            <v>182</v>
          </cell>
          <cell r="N49">
            <v>8</v>
          </cell>
          <cell r="O49">
            <v>6.3000000000000007</v>
          </cell>
          <cell r="P49">
            <v>31</v>
          </cell>
          <cell r="Q49">
            <v>213</v>
          </cell>
        </row>
        <row r="50">
          <cell r="B50" t="str">
            <v>Sonoma</v>
          </cell>
          <cell r="C50">
            <v>11.748154640197754</v>
          </cell>
          <cell r="D50">
            <v>70.840614318847656</v>
          </cell>
          <cell r="E50">
            <v>31.801902770996094</v>
          </cell>
          <cell r="F50">
            <v>27.765514373779297</v>
          </cell>
          <cell r="G50">
            <v>13.504931449890137</v>
          </cell>
          <cell r="H50">
            <v>9.2028436660766602</v>
          </cell>
          <cell r="I50">
            <v>164.86396789550781</v>
          </cell>
          <cell r="J50">
            <v>1</v>
          </cell>
          <cell r="K50">
            <v>8.4</v>
          </cell>
          <cell r="L50">
            <v>19.745710372924805</v>
          </cell>
          <cell r="M50">
            <v>185</v>
          </cell>
          <cell r="N50">
            <v>8</v>
          </cell>
          <cell r="O50">
            <v>6.3000000000000007</v>
          </cell>
          <cell r="P50">
            <v>31</v>
          </cell>
          <cell r="Q50">
            <v>216</v>
          </cell>
        </row>
        <row r="51">
          <cell r="B51" t="str">
            <v>Stanislaus</v>
          </cell>
          <cell r="C51">
            <v>14.676711082458496</v>
          </cell>
          <cell r="D51">
            <v>116.69972991943359</v>
          </cell>
          <cell r="E51">
            <v>48.962909698486328</v>
          </cell>
          <cell r="F51">
            <v>49.953845977783203</v>
          </cell>
          <cell r="G51">
            <v>19.26738166809082</v>
          </cell>
          <cell r="H51">
            <v>9.3366289138793945</v>
          </cell>
          <cell r="I51">
            <v>258.897216796875</v>
          </cell>
          <cell r="J51">
            <v>2.5</v>
          </cell>
          <cell r="K51">
            <v>8.4</v>
          </cell>
          <cell r="L51">
            <v>31.118717193603516</v>
          </cell>
          <cell r="M51">
            <v>291</v>
          </cell>
          <cell r="N51">
            <v>7.5</v>
          </cell>
          <cell r="O51">
            <v>6.3000000000000007</v>
          </cell>
          <cell r="P51">
            <v>48</v>
          </cell>
          <cell r="Q51">
            <v>339</v>
          </cell>
        </row>
        <row r="52">
          <cell r="B52" t="str">
            <v>Sutter</v>
          </cell>
          <cell r="C52">
            <v>3.7470526695251465</v>
          </cell>
          <cell r="D52">
            <v>26.698923110961914</v>
          </cell>
          <cell r="E52">
            <v>7.3420028686523438</v>
          </cell>
          <cell r="F52">
            <v>10.002835273742676</v>
          </cell>
          <cell r="G52">
            <v>4.2129626274108887</v>
          </cell>
          <cell r="H52">
            <v>2.5965759754180908</v>
          </cell>
          <cell r="I52">
            <v>54.600353240966797</v>
          </cell>
          <cell r="J52">
            <v>0</v>
          </cell>
          <cell r="K52">
            <v>7.8000000000000007</v>
          </cell>
          <cell r="L52">
            <v>7.0000452995300293</v>
          </cell>
          <cell r="M52">
            <v>62</v>
          </cell>
          <cell r="N52">
            <v>5.3</v>
          </cell>
          <cell r="O52">
            <v>5.1000000000000005</v>
          </cell>
          <cell r="P52">
            <v>14</v>
          </cell>
          <cell r="Q52">
            <v>76</v>
          </cell>
        </row>
        <row r="53">
          <cell r="B53" t="str">
            <v>Tehama</v>
          </cell>
          <cell r="C53">
            <v>2.8273770809173584</v>
          </cell>
          <cell r="D53">
            <v>20.789045333862305</v>
          </cell>
          <cell r="E53">
            <v>6.0530967712402344</v>
          </cell>
          <cell r="F53">
            <v>8.3177995681762695</v>
          </cell>
          <cell r="G53">
            <v>3.1250641345977783</v>
          </cell>
          <cell r="H53">
            <v>2.3821506500244141</v>
          </cell>
          <cell r="I53">
            <v>43.494533538818359</v>
          </cell>
          <cell r="J53">
            <v>1.25</v>
          </cell>
          <cell r="K53">
            <v>7.8000000000000007</v>
          </cell>
          <cell r="L53">
            <v>5.7364788055419922</v>
          </cell>
          <cell r="M53">
            <v>50</v>
          </cell>
          <cell r="N53">
            <v>3.05</v>
          </cell>
          <cell r="O53">
            <v>5.1000000000000005</v>
          </cell>
          <cell r="P53">
            <v>11</v>
          </cell>
          <cell r="Q53">
            <v>61</v>
          </cell>
        </row>
        <row r="54">
          <cell r="B54" t="str">
            <v>Trinity</v>
          </cell>
          <cell r="C54">
            <v>0.78677076101303101</v>
          </cell>
          <cell r="D54">
            <v>4.7743406295776367</v>
          </cell>
          <cell r="E54">
            <v>1.1446908712387085</v>
          </cell>
          <cell r="F54">
            <v>2.0894954204559326</v>
          </cell>
          <cell r="G54">
            <v>0.54742413759231567</v>
          </cell>
          <cell r="H54">
            <v>0.75396239757537842</v>
          </cell>
          <cell r="I54">
            <v>10.096684455871582</v>
          </cell>
          <cell r="J54">
            <v>0</v>
          </cell>
          <cell r="K54">
            <v>6.6000000000000005</v>
          </cell>
          <cell r="L54">
            <v>1.5298006534576416</v>
          </cell>
          <cell r="M54">
            <v>12</v>
          </cell>
          <cell r="N54">
            <v>5.5</v>
          </cell>
          <cell r="O54">
            <v>3.5</v>
          </cell>
          <cell r="P54">
            <v>5</v>
          </cell>
          <cell r="Q54">
            <v>17</v>
          </cell>
        </row>
        <row r="55">
          <cell r="B55" t="str">
            <v>Tulare</v>
          </cell>
          <cell r="C55">
            <v>15.468504905700684</v>
          </cell>
          <cell r="D55">
            <v>93.887351989746094</v>
          </cell>
          <cell r="E55">
            <v>36.775997161865234</v>
          </cell>
          <cell r="F55">
            <v>50.684047698974609</v>
          </cell>
          <cell r="G55">
            <v>14.311351776123047</v>
          </cell>
          <cell r="H55">
            <v>20.013572692871094</v>
          </cell>
          <cell r="I55">
            <v>231.14082336425781</v>
          </cell>
          <cell r="J55">
            <v>3</v>
          </cell>
          <cell r="K55">
            <v>8.4</v>
          </cell>
          <cell r="L55">
            <v>27.873907089233398</v>
          </cell>
          <cell r="M55">
            <v>260</v>
          </cell>
          <cell r="N55">
            <v>15.75</v>
          </cell>
          <cell r="O55">
            <v>6.3000000000000007</v>
          </cell>
          <cell r="P55">
            <v>44</v>
          </cell>
          <cell r="Q55">
            <v>304</v>
          </cell>
        </row>
        <row r="56">
          <cell r="B56" t="str">
            <v>Tuolumne</v>
          </cell>
          <cell r="C56">
            <v>1.5813812017440796</v>
          </cell>
          <cell r="D56">
            <v>15.342509269714355</v>
          </cell>
          <cell r="E56">
            <v>5.0139212608337402</v>
          </cell>
          <cell r="F56">
            <v>4.9787468910217285</v>
          </cell>
          <cell r="G56">
            <v>2.3335862159729004</v>
          </cell>
          <cell r="H56">
            <v>2.7725448608398438</v>
          </cell>
          <cell r="I56">
            <v>32.022689819335938</v>
          </cell>
          <cell r="J56">
            <v>0</v>
          </cell>
          <cell r="K56">
            <v>7.8000000000000007</v>
          </cell>
          <cell r="L56">
            <v>4.1054730415344238</v>
          </cell>
          <cell r="M56">
            <v>37</v>
          </cell>
          <cell r="N56">
            <v>2</v>
          </cell>
          <cell r="O56">
            <v>5.1000000000000005</v>
          </cell>
          <cell r="P56">
            <v>8</v>
          </cell>
          <cell r="Q56">
            <v>45</v>
          </cell>
        </row>
        <row r="57">
          <cell r="B57" t="str">
            <v>Ventura</v>
          </cell>
          <cell r="C57">
            <v>28.443178176879883</v>
          </cell>
          <cell r="D57">
            <v>108.41484832763672</v>
          </cell>
          <cell r="E57">
            <v>58.161636352539063</v>
          </cell>
          <cell r="F57">
            <v>46.331123352050781</v>
          </cell>
          <cell r="G57">
            <v>20.282281875610352</v>
          </cell>
          <cell r="H57">
            <v>14.519410133361816</v>
          </cell>
          <cell r="I57">
            <v>276.1524658203125</v>
          </cell>
          <cell r="J57">
            <v>10</v>
          </cell>
          <cell r="K57">
            <v>8.4</v>
          </cell>
          <cell r="L57">
            <v>34.065769195556641</v>
          </cell>
          <cell r="M57">
            <v>311</v>
          </cell>
          <cell r="N57">
            <v>39.25</v>
          </cell>
          <cell r="O57">
            <v>6.3000000000000007</v>
          </cell>
          <cell r="P57">
            <v>56</v>
          </cell>
          <cell r="Q57">
            <v>367</v>
          </cell>
        </row>
        <row r="58">
          <cell r="B58" t="str">
            <v>Yolo</v>
          </cell>
          <cell r="C58">
            <v>5.364201545715332</v>
          </cell>
          <cell r="D58">
            <v>38.56243896484375</v>
          </cell>
          <cell r="E58">
            <v>12.851288795471191</v>
          </cell>
          <cell r="F58">
            <v>14.538249015808105</v>
          </cell>
          <cell r="G58">
            <v>6.7449989318847656</v>
          </cell>
          <cell r="H58">
            <v>5.5000958442687988</v>
          </cell>
          <cell r="I58">
            <v>83.561271667480469</v>
          </cell>
          <cell r="J58">
            <v>1.5</v>
          </cell>
          <cell r="K58">
            <v>7.8000000000000007</v>
          </cell>
          <cell r="L58">
            <v>10.905291557312012</v>
          </cell>
          <cell r="M58">
            <v>95</v>
          </cell>
          <cell r="N58">
            <v>12.75</v>
          </cell>
          <cell r="O58">
            <v>5.1000000000000005</v>
          </cell>
          <cell r="P58">
            <v>22</v>
          </cell>
          <cell r="Q58">
            <v>117</v>
          </cell>
        </row>
        <row r="59">
          <cell r="B59" t="str">
            <v>Yuba</v>
          </cell>
          <cell r="C59">
            <v>2.3713366985321045</v>
          </cell>
          <cell r="D59">
            <v>26.780811309814453</v>
          </cell>
          <cell r="E59">
            <v>6.4776229858398438</v>
          </cell>
          <cell r="F59">
            <v>9.988072395324707</v>
          </cell>
          <cell r="G59">
            <v>3.1280419826507568</v>
          </cell>
          <cell r="H59">
            <v>3.3889734745025635</v>
          </cell>
          <cell r="I59">
            <v>52.134857177734375</v>
          </cell>
          <cell r="J59">
            <v>0</v>
          </cell>
          <cell r="K59">
            <v>7.8000000000000007</v>
          </cell>
          <cell r="L59">
            <v>6.6839561462402344</v>
          </cell>
          <cell r="M59">
            <v>59</v>
          </cell>
          <cell r="N59">
            <v>5.1999999999999984</v>
          </cell>
          <cell r="O59">
            <v>5.1000000000000005</v>
          </cell>
          <cell r="P59">
            <v>13</v>
          </cell>
          <cell r="Q59">
            <v>72</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ogram 10"/>
      <sheetName val="Program 90"/>
      <sheetName val="CEO Salary"/>
      <sheetName val="OE&amp;E by Cluster"/>
    </sheetNames>
    <sheetDataSet>
      <sheetData sheetId="0">
        <row r="7">
          <cell r="A7" t="str">
            <v>Alameda</v>
          </cell>
          <cell r="B7">
            <v>446.35000000000019</v>
          </cell>
          <cell r="C7">
            <v>43749368.743940286</v>
          </cell>
          <cell r="D7">
            <v>13812551.777255442</v>
          </cell>
          <cell r="E7">
            <v>10307921.75</v>
          </cell>
        </row>
        <row r="8">
          <cell r="A8" t="str">
            <v>Alpine</v>
          </cell>
          <cell r="B8">
            <v>3.8969</v>
          </cell>
          <cell r="C8">
            <v>195068.70400000003</v>
          </cell>
          <cell r="D8">
            <v>47572.595564640011</v>
          </cell>
          <cell r="E8">
            <v>92992.824554999999</v>
          </cell>
        </row>
        <row r="9">
          <cell r="A9" t="str">
            <v>Amador</v>
          </cell>
          <cell r="B9">
            <v>17.75</v>
          </cell>
          <cell r="C9">
            <v>1399497.0600000003</v>
          </cell>
          <cell r="D9">
            <v>575193.29165999999</v>
          </cell>
          <cell r="E9">
            <v>240066.95750000008</v>
          </cell>
        </row>
        <row r="10">
          <cell r="A10" t="str">
            <v>Butte</v>
          </cell>
          <cell r="B10">
            <v>80.159999999999968</v>
          </cell>
          <cell r="C10">
            <v>5379191.4533917988</v>
          </cell>
          <cell r="D10">
            <v>1915425.6587521536</v>
          </cell>
          <cell r="E10">
            <v>1336303.7156680352</v>
          </cell>
        </row>
        <row r="11">
          <cell r="A11" t="str">
            <v>Calaveras</v>
          </cell>
          <cell r="B11">
            <v>15.700000000000001</v>
          </cell>
          <cell r="C11">
            <v>1207132.5370840002</v>
          </cell>
          <cell r="D11">
            <v>275682.61807215598</v>
          </cell>
          <cell r="E11">
            <v>387667.99699999997</v>
          </cell>
        </row>
        <row r="12">
          <cell r="A12" t="str">
            <v>Colusa</v>
          </cell>
          <cell r="B12">
            <v>9.6499999999999915</v>
          </cell>
          <cell r="C12">
            <v>507626.95000000019</v>
          </cell>
          <cell r="D12">
            <v>257113.05017499992</v>
          </cell>
          <cell r="E12">
            <v>304407.59749999997</v>
          </cell>
        </row>
        <row r="13">
          <cell r="A13" t="str">
            <v>Contra Costa</v>
          </cell>
          <cell r="B13">
            <v>252.60000000000002</v>
          </cell>
          <cell r="C13">
            <v>22589907.616000026</v>
          </cell>
          <cell r="D13">
            <v>6587094.2196798073</v>
          </cell>
          <cell r="E13">
            <v>6884647.5420000199</v>
          </cell>
        </row>
        <row r="14">
          <cell r="A14" t="str">
            <v>Del Norte</v>
          </cell>
          <cell r="B14">
            <v>18</v>
          </cell>
          <cell r="C14">
            <v>1160681.2141049996</v>
          </cell>
          <cell r="D14">
            <v>355008.12378078245</v>
          </cell>
          <cell r="E14">
            <v>581742.00819944602</v>
          </cell>
        </row>
        <row r="15">
          <cell r="A15" t="str">
            <v>El Dorado</v>
          </cell>
          <cell r="B15">
            <v>50.900000000000006</v>
          </cell>
          <cell r="C15">
            <v>3957747.4560000002</v>
          </cell>
          <cell r="D15">
            <v>1414024.0110796806</v>
          </cell>
          <cell r="E15">
            <v>1631689.060000001</v>
          </cell>
        </row>
        <row r="16">
          <cell r="A16" t="str">
            <v>Fresno</v>
          </cell>
          <cell r="B16">
            <v>417.67500000000013</v>
          </cell>
          <cell r="C16">
            <v>29859972.363999963</v>
          </cell>
          <cell r="D16">
            <v>16809070.362674177</v>
          </cell>
          <cell r="E16">
            <v>7931660.4110135334</v>
          </cell>
        </row>
        <row r="17">
          <cell r="A17" t="str">
            <v>Glenn</v>
          </cell>
          <cell r="B17">
            <v>11.55</v>
          </cell>
          <cell r="C17">
            <v>735560.26650000003</v>
          </cell>
          <cell r="D17">
            <v>126957.70199789999</v>
          </cell>
          <cell r="E17">
            <v>476101.163</v>
          </cell>
        </row>
        <row r="18">
          <cell r="A18" t="str">
            <v>Humboldt</v>
          </cell>
          <cell r="B18">
            <v>53.449999999999996</v>
          </cell>
          <cell r="C18">
            <v>3824019.6</v>
          </cell>
          <cell r="D18">
            <v>1499736.3022572303</v>
          </cell>
          <cell r="E18">
            <v>1183033.1020000007</v>
          </cell>
        </row>
        <row r="19">
          <cell r="A19" t="str">
            <v>Imperial</v>
          </cell>
          <cell r="B19">
            <v>74.949999999999974</v>
          </cell>
          <cell r="C19">
            <v>4106428.2532749139</v>
          </cell>
          <cell r="D19">
            <v>923271.10939222609</v>
          </cell>
          <cell r="E19">
            <v>529749.7919999999</v>
          </cell>
        </row>
        <row r="20">
          <cell r="A20" t="str">
            <v>Inyo</v>
          </cell>
          <cell r="B20">
            <v>9.44</v>
          </cell>
          <cell r="C20">
            <v>803065.08000000054</v>
          </cell>
          <cell r="D20">
            <v>160211.48345999996</v>
          </cell>
          <cell r="E20">
            <v>147581.44000000006</v>
          </cell>
        </row>
        <row r="21">
          <cell r="A21" t="str">
            <v>Kern</v>
          </cell>
          <cell r="B21">
            <v>398.5</v>
          </cell>
          <cell r="C21">
            <v>30659096.281263977</v>
          </cell>
          <cell r="D21">
            <v>16275818.339693082</v>
          </cell>
          <cell r="E21">
            <v>8578680.3350000065</v>
          </cell>
        </row>
        <row r="22">
          <cell r="A22" t="str">
            <v>Kings</v>
          </cell>
          <cell r="B22">
            <v>73.5</v>
          </cell>
          <cell r="C22">
            <v>5247002.3949999996</v>
          </cell>
          <cell r="D22">
            <v>864181.29445650044</v>
          </cell>
          <cell r="E22">
            <v>1293456.5839999996</v>
          </cell>
        </row>
        <row r="23">
          <cell r="A23" t="str">
            <v>Lake</v>
          </cell>
          <cell r="B23">
            <v>29.099999999999998</v>
          </cell>
          <cell r="C23">
            <v>2101894.6</v>
          </cell>
          <cell r="D23">
            <v>675338.73498000007</v>
          </cell>
          <cell r="E23">
            <v>465002.86799999996</v>
          </cell>
        </row>
        <row r="24">
          <cell r="A24" t="str">
            <v>Lassen</v>
          </cell>
          <cell r="B24">
            <v>13.5</v>
          </cell>
          <cell r="C24">
            <v>899652.89499999955</v>
          </cell>
          <cell r="D24">
            <v>153846.68585549996</v>
          </cell>
          <cell r="E24">
            <v>241463.10999999981</v>
          </cell>
        </row>
        <row r="25">
          <cell r="A25" t="str">
            <v>Los Angeles</v>
          </cell>
          <cell r="B25">
            <v>3439</v>
          </cell>
          <cell r="C25">
            <v>309925086.13176465</v>
          </cell>
          <cell r="D25">
            <v>99331146.960449025</v>
          </cell>
          <cell r="E25">
            <v>101404257.54303308</v>
          </cell>
        </row>
        <row r="26">
          <cell r="A26" t="str">
            <v>Madera</v>
          </cell>
          <cell r="B26">
            <v>79.360000000000014</v>
          </cell>
          <cell r="C26">
            <v>5874014.4199999999</v>
          </cell>
          <cell r="D26">
            <v>2298040.9291866003</v>
          </cell>
          <cell r="E26">
            <v>1037235.2</v>
          </cell>
        </row>
        <row r="27">
          <cell r="A27" t="str">
            <v>Marin</v>
          </cell>
          <cell r="B27">
            <v>62.9</v>
          </cell>
          <cell r="C27">
            <v>6199993.6045000032</v>
          </cell>
          <cell r="D27">
            <v>1370825.4517703499</v>
          </cell>
          <cell r="E27">
            <v>1535983.4049999986</v>
          </cell>
        </row>
        <row r="28">
          <cell r="A28" t="str">
            <v>Mariposa</v>
          </cell>
          <cell r="B28">
            <v>8.1999999999999993</v>
          </cell>
          <cell r="C28">
            <v>529659.75</v>
          </cell>
          <cell r="D28">
            <v>166200.70714300001</v>
          </cell>
          <cell r="E28">
            <v>138349.50000000003</v>
          </cell>
        </row>
        <row r="29">
          <cell r="A29" t="str">
            <v>Mendocino</v>
          </cell>
          <cell r="B29">
            <v>42.9</v>
          </cell>
          <cell r="C29">
            <v>3308203.8</v>
          </cell>
          <cell r="D29">
            <v>1510453.0221341997</v>
          </cell>
          <cell r="E29">
            <v>850873.29900000093</v>
          </cell>
        </row>
        <row r="30">
          <cell r="A30" t="str">
            <v>Merced</v>
          </cell>
          <cell r="B30">
            <v>103.5</v>
          </cell>
          <cell r="C30">
            <v>6869154.2599999998</v>
          </cell>
          <cell r="D30">
            <v>3372732.675654998</v>
          </cell>
          <cell r="E30">
            <v>2106631.5890000006</v>
          </cell>
        </row>
        <row r="31">
          <cell r="A31" t="str">
            <v>Modoc</v>
          </cell>
          <cell r="B31">
            <v>7.2</v>
          </cell>
          <cell r="C31">
            <v>438446.29800000001</v>
          </cell>
          <cell r="D31">
            <v>164870.5430802</v>
          </cell>
          <cell r="E31">
            <v>141156.76400000002</v>
          </cell>
        </row>
        <row r="32">
          <cell r="A32" t="str">
            <v>Mono</v>
          </cell>
          <cell r="B32">
            <v>7.2000000000000011</v>
          </cell>
          <cell r="C32">
            <v>476228.94121772487</v>
          </cell>
          <cell r="D32">
            <v>154870.6701622332</v>
          </cell>
          <cell r="E32">
            <v>192553.7</v>
          </cell>
        </row>
        <row r="33">
          <cell r="A33" t="str">
            <v>Monterey</v>
          </cell>
          <cell r="B33">
            <v>139.6</v>
          </cell>
          <cell r="C33">
            <v>10901969.312000005</v>
          </cell>
          <cell r="D33">
            <v>1804296.3338719986</v>
          </cell>
          <cell r="E33">
            <v>4205434.3501322325</v>
          </cell>
        </row>
        <row r="34">
          <cell r="A34" t="str">
            <v>Napa</v>
          </cell>
          <cell r="B34">
            <v>45.4</v>
          </cell>
          <cell r="C34">
            <v>3937767.6</v>
          </cell>
          <cell r="D34">
            <v>1090527.7449800002</v>
          </cell>
          <cell r="E34">
            <v>1147605.4549999996</v>
          </cell>
        </row>
        <row r="35">
          <cell r="A35" t="str">
            <v>Nevada</v>
          </cell>
          <cell r="B35">
            <v>39.03</v>
          </cell>
          <cell r="C35">
            <v>2810485.9899466392</v>
          </cell>
          <cell r="D35">
            <v>1318813.4370662456</v>
          </cell>
          <cell r="E35">
            <v>935247.02306666656</v>
          </cell>
        </row>
        <row r="36">
          <cell r="A36" t="str">
            <v>Orange</v>
          </cell>
          <cell r="B36">
            <v>1129.4599999999994</v>
          </cell>
          <cell r="C36">
            <v>105976121.75494352</v>
          </cell>
          <cell r="D36">
            <v>41189936.338174984</v>
          </cell>
          <cell r="E36">
            <v>19123366.57121991</v>
          </cell>
        </row>
        <row r="37">
          <cell r="A37" t="str">
            <v>Placer</v>
          </cell>
          <cell r="B37">
            <v>121.3</v>
          </cell>
          <cell r="C37">
            <v>10804571.988399999</v>
          </cell>
          <cell r="D37">
            <v>4421901.7836045604</v>
          </cell>
          <cell r="E37">
            <v>3793774.3</v>
          </cell>
        </row>
        <row r="38">
          <cell r="A38" t="str">
            <v>Plumas</v>
          </cell>
          <cell r="B38">
            <v>6.6999999999999993</v>
          </cell>
          <cell r="C38">
            <v>531280.43999999994</v>
          </cell>
          <cell r="D38">
            <v>207617.79881999997</v>
          </cell>
          <cell r="E38">
            <v>363961.39599999995</v>
          </cell>
        </row>
        <row r="39">
          <cell r="A39" t="str">
            <v>Riverside</v>
          </cell>
          <cell r="B39">
            <v>768.61999999999989</v>
          </cell>
          <cell r="C39">
            <v>69210746.321599975</v>
          </cell>
          <cell r="D39">
            <v>18680352.013636321</v>
          </cell>
          <cell r="E39">
            <v>28430501.278200291</v>
          </cell>
        </row>
        <row r="40">
          <cell r="A40" t="str">
            <v>Sacramento</v>
          </cell>
          <cell r="B40">
            <v>551.39</v>
          </cell>
          <cell r="C40">
            <v>52158280.074752636</v>
          </cell>
          <cell r="D40">
            <v>20152185.665177401</v>
          </cell>
          <cell r="E40">
            <v>12782553.557300095</v>
          </cell>
        </row>
        <row r="41">
          <cell r="A41" t="str">
            <v>San Benito</v>
          </cell>
          <cell r="B41">
            <v>24.7</v>
          </cell>
          <cell r="C41">
            <v>1907457.9400000002</v>
          </cell>
          <cell r="D41">
            <v>333423.64791200007</v>
          </cell>
          <cell r="E41">
            <v>432654.44799999997</v>
          </cell>
        </row>
        <row r="42">
          <cell r="A42" t="str">
            <v>San Bernardino</v>
          </cell>
          <cell r="B42">
            <v>883.82</v>
          </cell>
          <cell r="C42">
            <v>75118547.44559975</v>
          </cell>
          <cell r="D42">
            <v>17826964.590542242</v>
          </cell>
          <cell r="E42">
            <v>14917335.81620156</v>
          </cell>
        </row>
        <row r="43">
          <cell r="A43" t="str">
            <v>San Diego</v>
          </cell>
          <cell r="B43">
            <v>885.76</v>
          </cell>
          <cell r="C43">
            <v>75682538.490000159</v>
          </cell>
          <cell r="D43">
            <v>36938557.801941991</v>
          </cell>
          <cell r="E43">
            <v>25983611.658436887</v>
          </cell>
        </row>
        <row r="44">
          <cell r="A44" t="str">
            <v>San Francisco</v>
          </cell>
          <cell r="B44">
            <v>370.9</v>
          </cell>
          <cell r="C44">
            <v>37719885.752619132</v>
          </cell>
          <cell r="D44">
            <v>11631166.387747036</v>
          </cell>
          <cell r="E44">
            <v>14493993.347100038</v>
          </cell>
        </row>
        <row r="45">
          <cell r="A45" t="str">
            <v>San Joaquin</v>
          </cell>
          <cell r="B45">
            <v>301.11499999999995</v>
          </cell>
          <cell r="C45">
            <v>23689823.073549997</v>
          </cell>
          <cell r="D45">
            <v>12071320.631423106</v>
          </cell>
          <cell r="E45">
            <v>5432797.3283999972</v>
          </cell>
        </row>
        <row r="46">
          <cell r="A46" t="str">
            <v>San Luis Obispo</v>
          </cell>
          <cell r="B46">
            <v>94.600000000000009</v>
          </cell>
          <cell r="C46">
            <v>8230709.4999999963</v>
          </cell>
          <cell r="D46">
            <v>4099058.7713780012</v>
          </cell>
          <cell r="E46">
            <v>1743895.511999998</v>
          </cell>
        </row>
        <row r="47">
          <cell r="A47" t="str">
            <v>San Mateo</v>
          </cell>
          <cell r="B47">
            <v>188.09999999999997</v>
          </cell>
          <cell r="C47">
            <v>19745307.558196086</v>
          </cell>
          <cell r="D47">
            <v>6655842.1974524027</v>
          </cell>
          <cell r="E47">
            <v>5479541.1000000006</v>
          </cell>
        </row>
        <row r="48">
          <cell r="A48" t="str">
            <v>Santa Barbara</v>
          </cell>
          <cell r="B48">
            <v>169.89999999999998</v>
          </cell>
          <cell r="C48">
            <v>13631641.056000018</v>
          </cell>
          <cell r="D48">
            <v>5685831.4497550419</v>
          </cell>
          <cell r="E48">
            <v>3717079.7</v>
          </cell>
        </row>
        <row r="49">
          <cell r="A49" t="str">
            <v>Santa Clara</v>
          </cell>
          <cell r="B49">
            <v>384.00000000000028</v>
          </cell>
          <cell r="C49">
            <v>41030967.764973752</v>
          </cell>
          <cell r="D49">
            <v>15057751.937195979</v>
          </cell>
          <cell r="E49">
            <v>10212993.579598652</v>
          </cell>
        </row>
        <row r="50">
          <cell r="A50" t="str">
            <v>Santa Cruz</v>
          </cell>
          <cell r="B50">
            <v>84.200000000000017</v>
          </cell>
          <cell r="C50">
            <v>7299789.4600000018</v>
          </cell>
          <cell r="D50">
            <v>2758963.4564719987</v>
          </cell>
          <cell r="E50">
            <v>2091148.8377853034</v>
          </cell>
        </row>
        <row r="51">
          <cell r="A51" t="str">
            <v>Shasta</v>
          </cell>
          <cell r="B51">
            <v>103.49999999999997</v>
          </cell>
          <cell r="C51">
            <v>7496325.9630000005</v>
          </cell>
          <cell r="D51">
            <v>1250195.1583805003</v>
          </cell>
          <cell r="E51">
            <v>2777479.5</v>
          </cell>
        </row>
        <row r="52">
          <cell r="A52" t="str">
            <v>Sierra</v>
          </cell>
          <cell r="B52">
            <v>2.4500000000000002</v>
          </cell>
          <cell r="C52">
            <v>157534.98799999998</v>
          </cell>
          <cell r="D52">
            <v>46783.2468544</v>
          </cell>
          <cell r="E52">
            <v>97024.515000000014</v>
          </cell>
        </row>
        <row r="53">
          <cell r="A53" t="str">
            <v>Siskiyou</v>
          </cell>
          <cell r="B53">
            <v>20.949999999999996</v>
          </cell>
          <cell r="C53">
            <v>1826704.4549999996</v>
          </cell>
          <cell r="D53">
            <v>827935.52718420024</v>
          </cell>
          <cell r="E53">
            <v>616584.58499999985</v>
          </cell>
        </row>
        <row r="54">
          <cell r="A54" t="str">
            <v>Solano</v>
          </cell>
          <cell r="B54">
            <v>171.95</v>
          </cell>
          <cell r="C54">
            <v>14654488.301012961</v>
          </cell>
          <cell r="D54">
            <v>8052347.1253698701</v>
          </cell>
          <cell r="E54">
            <v>3894738.2635000055</v>
          </cell>
        </row>
        <row r="55">
          <cell r="A55" t="str">
            <v>Sonoma</v>
          </cell>
          <cell r="B55">
            <v>137.99</v>
          </cell>
          <cell r="C55">
            <v>12157620.877267998</v>
          </cell>
          <cell r="D55">
            <v>4965059.3736703126</v>
          </cell>
          <cell r="E55">
            <v>3463058.8886000025</v>
          </cell>
        </row>
        <row r="56">
          <cell r="A56" t="str">
            <v>Stanislaus</v>
          </cell>
          <cell r="B56">
            <v>191.3</v>
          </cell>
          <cell r="C56">
            <v>14177461.750846155</v>
          </cell>
          <cell r="D56">
            <v>5355967.5643779095</v>
          </cell>
          <cell r="E56">
            <v>4332439.1057342431</v>
          </cell>
        </row>
        <row r="57">
          <cell r="A57" t="str">
            <v>Sutter</v>
          </cell>
          <cell r="B57">
            <v>40.299999999999997</v>
          </cell>
          <cell r="C57">
            <v>2704882.929</v>
          </cell>
          <cell r="D57">
            <v>1106237.4872271994</v>
          </cell>
          <cell r="E57">
            <v>1186709.8230000003</v>
          </cell>
        </row>
        <row r="58">
          <cell r="A58" t="str">
            <v>Tehama</v>
          </cell>
          <cell r="B58">
            <v>32.45000000000001</v>
          </cell>
          <cell r="C58">
            <v>2206899.6410000003</v>
          </cell>
          <cell r="D58">
            <v>840797.93293759983</v>
          </cell>
          <cell r="E58">
            <v>819308.0920000003</v>
          </cell>
        </row>
        <row r="59">
          <cell r="A59" t="str">
            <v>Trinity</v>
          </cell>
          <cell r="B59">
            <v>4.9600000000000009</v>
          </cell>
          <cell r="C59">
            <v>308354.00829166669</v>
          </cell>
          <cell r="D59">
            <v>140812.56782935001</v>
          </cell>
          <cell r="E59">
            <v>56436.955120643441</v>
          </cell>
        </row>
        <row r="60">
          <cell r="A60" t="str">
            <v>Tulare</v>
          </cell>
          <cell r="B60">
            <v>215</v>
          </cell>
          <cell r="C60">
            <v>15287233.019999983</v>
          </cell>
          <cell r="D60">
            <v>4607052.568539001</v>
          </cell>
          <cell r="E60">
            <v>7907482.2250000238</v>
          </cell>
        </row>
        <row r="61">
          <cell r="A61" t="str">
            <v>Tuolumne</v>
          </cell>
          <cell r="B61">
            <v>31.4</v>
          </cell>
          <cell r="C61">
            <v>2315318.86</v>
          </cell>
          <cell r="D61">
            <v>738863.89555559994</v>
          </cell>
          <cell r="E61">
            <v>1188471.389</v>
          </cell>
        </row>
        <row r="62">
          <cell r="A62" t="str">
            <v>Ventura</v>
          </cell>
          <cell r="B62">
            <v>231.2012</v>
          </cell>
          <cell r="C62">
            <v>19749962.583878007</v>
          </cell>
          <cell r="D62">
            <v>4730544.1103240624</v>
          </cell>
          <cell r="E62">
            <v>4783510.5069920002</v>
          </cell>
        </row>
        <row r="63">
          <cell r="A63" t="str">
            <v>Yolo</v>
          </cell>
          <cell r="B63">
            <v>84.75</v>
          </cell>
          <cell r="C63">
            <v>6726341.785000002</v>
          </cell>
          <cell r="D63">
            <v>1193464.8318454998</v>
          </cell>
          <cell r="E63">
            <v>3590213.8074999987</v>
          </cell>
        </row>
        <row r="64">
          <cell r="A64" t="str">
            <v>Yuba</v>
          </cell>
          <cell r="B64">
            <v>36.550000000000018</v>
          </cell>
          <cell r="C64">
            <v>2585195.85</v>
          </cell>
          <cell r="D64">
            <v>277391.5147050001</v>
          </cell>
          <cell r="E64">
            <v>848563.08350000053</v>
          </cell>
        </row>
      </sheetData>
      <sheetData sheetId="1">
        <row r="7">
          <cell r="A7" t="str">
            <v>Alameda</v>
          </cell>
          <cell r="B7">
            <v>110</v>
          </cell>
          <cell r="C7">
            <v>14439258.126115963</v>
          </cell>
          <cell r="D7">
            <v>4564922.6491469294</v>
          </cell>
          <cell r="E7">
            <v>2672953</v>
          </cell>
        </row>
        <row r="8">
          <cell r="A8" t="str">
            <v>Alpine</v>
          </cell>
          <cell r="B8">
            <v>0.31840000000000002</v>
          </cell>
          <cell r="C8">
            <v>31467.036</v>
          </cell>
          <cell r="D8">
            <v>15442.762587359999</v>
          </cell>
          <cell r="E8">
            <v>10088.454479999999</v>
          </cell>
        </row>
        <row r="9">
          <cell r="A9" t="str">
            <v>Amador</v>
          </cell>
          <cell r="B9">
            <v>4.8499999999999996</v>
          </cell>
          <cell r="C9">
            <v>480754.3</v>
          </cell>
          <cell r="D9">
            <v>197590.01730000001</v>
          </cell>
          <cell r="E9">
            <v>46618.340499999998</v>
          </cell>
        </row>
        <row r="10">
          <cell r="A10" t="str">
            <v>Butte</v>
          </cell>
          <cell r="B10">
            <v>22.3</v>
          </cell>
          <cell r="C10">
            <v>1899555.5081309993</v>
          </cell>
          <cell r="D10">
            <v>670796.64388610213</v>
          </cell>
          <cell r="E10">
            <v>389119.23323961103</v>
          </cell>
        </row>
        <row r="11">
          <cell r="A11" t="str">
            <v>Calaveras</v>
          </cell>
          <cell r="B11">
            <v>5.75</v>
          </cell>
          <cell r="C11">
            <v>550321.22587199998</v>
          </cell>
          <cell r="D11">
            <v>123217.29839104801</v>
          </cell>
          <cell r="E11">
            <v>78527.39</v>
          </cell>
        </row>
        <row r="12">
          <cell r="A12" t="str">
            <v>Colusa</v>
          </cell>
          <cell r="B12">
            <v>3.45</v>
          </cell>
          <cell r="C12">
            <v>248324.25</v>
          </cell>
          <cell r="D12">
            <v>102104.73262499999</v>
          </cell>
          <cell r="E12">
            <v>30881.662499999999</v>
          </cell>
        </row>
        <row r="13">
          <cell r="A13" t="str">
            <v>Contra Costa</v>
          </cell>
          <cell r="B13">
            <v>48.170000000000009</v>
          </cell>
          <cell r="C13">
            <v>5286336.5037000002</v>
          </cell>
          <cell r="D13">
            <v>1558640.0358126117</v>
          </cell>
          <cell r="E13">
            <v>1379109.7399999998</v>
          </cell>
        </row>
        <row r="14">
          <cell r="A14" t="str">
            <v>Del Norte</v>
          </cell>
          <cell r="B14">
            <v>3</v>
          </cell>
          <cell r="C14">
            <v>279757.40899999999</v>
          </cell>
          <cell r="D14">
            <v>91989.826133936047</v>
          </cell>
          <cell r="E14">
            <v>102660.24</v>
          </cell>
        </row>
        <row r="15">
          <cell r="A15" t="str">
            <v>El Dorado</v>
          </cell>
          <cell r="B15">
            <v>10.275</v>
          </cell>
          <cell r="C15">
            <v>1119869.1712</v>
          </cell>
          <cell r="D15">
            <v>400106.85748633603</v>
          </cell>
          <cell r="E15">
            <v>287771.14075000008</v>
          </cell>
        </row>
        <row r="16">
          <cell r="A16" t="str">
            <v>Fresno</v>
          </cell>
          <cell r="B16">
            <v>60.800000000000004</v>
          </cell>
          <cell r="C16">
            <v>5812508.9800000023</v>
          </cell>
          <cell r="D16">
            <v>3345663.4196400014</v>
          </cell>
          <cell r="E16">
            <v>1155692.6453760003</v>
          </cell>
        </row>
        <row r="17">
          <cell r="A17" t="str">
            <v>Glenn</v>
          </cell>
          <cell r="B17">
            <v>1.55</v>
          </cell>
          <cell r="C17">
            <v>150842.1145</v>
          </cell>
          <cell r="D17">
            <v>26035.348962700002</v>
          </cell>
          <cell r="E17">
            <v>66959.294999999998</v>
          </cell>
        </row>
        <row r="18">
          <cell r="A18" t="str">
            <v>Humboldt</v>
          </cell>
          <cell r="B18">
            <v>13</v>
          </cell>
          <cell r="C18">
            <v>1024175</v>
          </cell>
          <cell r="D18">
            <v>411731.58630769228</v>
          </cell>
          <cell r="E18">
            <v>265240.88</v>
          </cell>
        </row>
        <row r="19">
          <cell r="A19" t="str">
            <v>Imperial</v>
          </cell>
          <cell r="B19">
            <v>24.349999999999994</v>
          </cell>
          <cell r="C19">
            <v>1817118.7859945211</v>
          </cell>
          <cell r="D19">
            <v>414128.85523682256</v>
          </cell>
          <cell r="E19">
            <v>260155.62800000003</v>
          </cell>
        </row>
        <row r="20">
          <cell r="A20" t="str">
            <v>Inyo</v>
          </cell>
          <cell r="B20">
            <v>2.89</v>
          </cell>
          <cell r="C20">
            <v>216514.79999999996</v>
          </cell>
          <cell r="D20">
            <v>40527.0026</v>
          </cell>
          <cell r="E20">
            <v>45134.210000000006</v>
          </cell>
        </row>
        <row r="21">
          <cell r="A21" t="str">
            <v>Kern</v>
          </cell>
          <cell r="B21">
            <v>88</v>
          </cell>
          <cell r="C21">
            <v>7964503.3706979994</v>
          </cell>
          <cell r="D21">
            <v>4229673.1276784567</v>
          </cell>
          <cell r="E21">
            <v>1797386.3799999994</v>
          </cell>
        </row>
        <row r="22">
          <cell r="A22" t="str">
            <v>Kings</v>
          </cell>
          <cell r="B22">
            <v>20</v>
          </cell>
          <cell r="C22">
            <v>1671688.2700000003</v>
          </cell>
          <cell r="D22">
            <v>275327.05806900002</v>
          </cell>
          <cell r="E22">
            <v>396877.79999999981</v>
          </cell>
        </row>
        <row r="23">
          <cell r="A23" t="str">
            <v>Lake</v>
          </cell>
          <cell r="B23">
            <v>3</v>
          </cell>
          <cell r="C23">
            <v>273004</v>
          </cell>
          <cell r="D23">
            <v>87716.185200000007</v>
          </cell>
          <cell r="E23">
            <v>47938.439999999995</v>
          </cell>
        </row>
        <row r="24">
          <cell r="A24" t="str">
            <v>Lassen</v>
          </cell>
          <cell r="B24">
            <v>3</v>
          </cell>
          <cell r="C24">
            <v>270405.2</v>
          </cell>
          <cell r="D24">
            <v>48483.65236</v>
          </cell>
          <cell r="E24">
            <v>62680.710000000014</v>
          </cell>
        </row>
        <row r="25">
          <cell r="A25" t="str">
            <v>Los Angeles</v>
          </cell>
          <cell r="B25">
            <v>712.67000000000007</v>
          </cell>
          <cell r="C25">
            <v>81456035.812612489</v>
          </cell>
          <cell r="D25">
            <v>34684443.995189153</v>
          </cell>
          <cell r="E25">
            <v>17717297.683966268</v>
          </cell>
        </row>
        <row r="26">
          <cell r="A26" t="str">
            <v>Madera</v>
          </cell>
          <cell r="B26">
            <v>15</v>
          </cell>
          <cell r="C26">
            <v>1305401</v>
          </cell>
          <cell r="D26">
            <v>517369.57832999993</v>
          </cell>
          <cell r="E26">
            <v>196050</v>
          </cell>
        </row>
        <row r="27">
          <cell r="A27" t="str">
            <v>Marin</v>
          </cell>
          <cell r="B27">
            <v>20</v>
          </cell>
          <cell r="C27">
            <v>2260255.2600000002</v>
          </cell>
          <cell r="D27">
            <v>542028.31452700007</v>
          </cell>
          <cell r="E27">
            <v>488389.00000000012</v>
          </cell>
        </row>
        <row r="28">
          <cell r="A28" t="str">
            <v>Mariposa</v>
          </cell>
          <cell r="B28">
            <v>3.46</v>
          </cell>
          <cell r="C28">
            <v>267902.1496</v>
          </cell>
          <cell r="D28">
            <v>76915.542865200012</v>
          </cell>
          <cell r="E28">
            <v>51251.670000000006</v>
          </cell>
        </row>
        <row r="29">
          <cell r="A29" t="str">
            <v>Mendocino</v>
          </cell>
          <cell r="B29">
            <v>9.75</v>
          </cell>
          <cell r="C29">
            <v>912969</v>
          </cell>
          <cell r="D29">
            <v>473151.10882099991</v>
          </cell>
          <cell r="E29">
            <v>137181.02249999999</v>
          </cell>
        </row>
        <row r="30">
          <cell r="A30" t="str">
            <v>Merced</v>
          </cell>
          <cell r="B30">
            <v>25</v>
          </cell>
          <cell r="C30">
            <v>2459144.4799999995</v>
          </cell>
          <cell r="D30">
            <v>1265047.901728</v>
          </cell>
          <cell r="E30">
            <v>528270.35</v>
          </cell>
        </row>
        <row r="31">
          <cell r="A31" t="str">
            <v>Modoc</v>
          </cell>
          <cell r="B31">
            <v>1</v>
          </cell>
          <cell r="C31">
            <v>88846.46</v>
          </cell>
          <cell r="D31">
            <v>35085.467054000008</v>
          </cell>
          <cell r="E31">
            <v>22767.22</v>
          </cell>
        </row>
        <row r="32">
          <cell r="A32" t="str">
            <v>Mono</v>
          </cell>
          <cell r="B32">
            <v>4.2349999999999994</v>
          </cell>
          <cell r="C32">
            <v>412695.34585852304</v>
          </cell>
          <cell r="D32">
            <v>129261.32898409833</v>
          </cell>
          <cell r="E32">
            <v>124956.72500000001</v>
          </cell>
        </row>
        <row r="33">
          <cell r="A33" t="str">
            <v>Monterey</v>
          </cell>
          <cell r="B33">
            <v>36</v>
          </cell>
          <cell r="C33">
            <v>3870651.2000000007</v>
          </cell>
          <cell r="D33">
            <v>642512.29504</v>
          </cell>
          <cell r="E33">
            <v>1141693.9163557161</v>
          </cell>
        </row>
        <row r="34">
          <cell r="A34" t="str">
            <v>Napa</v>
          </cell>
          <cell r="B34">
            <v>13</v>
          </cell>
          <cell r="C34">
            <v>1629587</v>
          </cell>
          <cell r="D34">
            <v>423486.84470000002</v>
          </cell>
          <cell r="E34">
            <v>320731.00000000006</v>
          </cell>
        </row>
        <row r="35">
          <cell r="A35" t="str">
            <v>Nevada</v>
          </cell>
          <cell r="B35">
            <v>9</v>
          </cell>
          <cell r="C35">
            <v>771562.7590860225</v>
          </cell>
          <cell r="D35">
            <v>386861.56740573165</v>
          </cell>
          <cell r="E35">
            <v>274679.23999999993</v>
          </cell>
        </row>
        <row r="36">
          <cell r="A36" t="str">
            <v>Orange</v>
          </cell>
          <cell r="B36">
            <v>199.08</v>
          </cell>
          <cell r="C36">
            <v>19992469.962639999</v>
          </cell>
          <cell r="D36">
            <v>7849770.8991674297</v>
          </cell>
          <cell r="E36">
            <v>3519301.3368000002</v>
          </cell>
        </row>
        <row r="37">
          <cell r="A37" t="str">
            <v>Placer</v>
          </cell>
          <cell r="B37">
            <v>29.2</v>
          </cell>
          <cell r="C37">
            <v>2888777.8610499999</v>
          </cell>
          <cell r="D37">
            <v>1194220.7677580698</v>
          </cell>
          <cell r="E37">
            <v>926261.2</v>
          </cell>
        </row>
        <row r="38">
          <cell r="A38" t="str">
            <v>Plumas</v>
          </cell>
          <cell r="B38">
            <v>0.75</v>
          </cell>
          <cell r="C38">
            <v>48250.8</v>
          </cell>
          <cell r="D38">
            <v>19773.17784</v>
          </cell>
          <cell r="E38">
            <v>54461.91</v>
          </cell>
        </row>
        <row r="39">
          <cell r="A39" t="str">
            <v>Riverside</v>
          </cell>
          <cell r="B39">
            <v>102.92000000000002</v>
          </cell>
          <cell r="C39">
            <v>11825963.207399998</v>
          </cell>
          <cell r="D39">
            <v>3193212.3900098992</v>
          </cell>
          <cell r="E39">
            <v>4238213.1163999997</v>
          </cell>
        </row>
        <row r="40">
          <cell r="A40" t="str">
            <v>Sacramento</v>
          </cell>
          <cell r="B40">
            <v>100.46</v>
          </cell>
          <cell r="C40">
            <v>12250648.913336523</v>
          </cell>
          <cell r="D40">
            <v>4859703.4734501187</v>
          </cell>
          <cell r="E40">
            <v>2319459.6722000004</v>
          </cell>
        </row>
        <row r="41">
          <cell r="A41" t="str">
            <v>San Benito</v>
          </cell>
          <cell r="B41">
            <v>7</v>
          </cell>
          <cell r="C41">
            <v>833472.11999999988</v>
          </cell>
          <cell r="D41">
            <v>145690.92657599997</v>
          </cell>
          <cell r="E41">
            <v>158117.95000000001</v>
          </cell>
        </row>
        <row r="42">
          <cell r="A42" t="str">
            <v>San Bernardino</v>
          </cell>
          <cell r="B42">
            <v>149</v>
          </cell>
          <cell r="C42">
            <v>15442899.040000007</v>
          </cell>
          <cell r="D42">
            <v>4124249.4201600025</v>
          </cell>
          <cell r="E42">
            <v>2805103.6469053482</v>
          </cell>
        </row>
        <row r="43">
          <cell r="A43" t="str">
            <v>San Diego</v>
          </cell>
          <cell r="B43">
            <v>162.34699999999995</v>
          </cell>
          <cell r="C43">
            <v>17161916.21800001</v>
          </cell>
          <cell r="D43">
            <v>8665307.2883123979</v>
          </cell>
          <cell r="E43">
            <v>4820924.1356293252</v>
          </cell>
        </row>
        <row r="44">
          <cell r="A44" t="str">
            <v>San Francisco</v>
          </cell>
          <cell r="B44">
            <v>54</v>
          </cell>
          <cell r="C44">
            <v>6881172.280000004</v>
          </cell>
          <cell r="D44">
            <v>2190573.614860001</v>
          </cell>
          <cell r="E44">
            <v>2110094.2259999979</v>
          </cell>
        </row>
        <row r="45">
          <cell r="A45" t="str">
            <v>San Joaquin</v>
          </cell>
          <cell r="B45">
            <v>37.935000000000002</v>
          </cell>
          <cell r="C45">
            <v>4008978.1329499995</v>
          </cell>
          <cell r="D45">
            <v>2116005.8014136972</v>
          </cell>
          <cell r="E45">
            <v>586149.07560000021</v>
          </cell>
        </row>
        <row r="46">
          <cell r="A46" t="str">
            <v>San Luis Obispo</v>
          </cell>
          <cell r="B46">
            <v>17</v>
          </cell>
          <cell r="C46">
            <v>1964030.64</v>
          </cell>
          <cell r="D46">
            <v>1040157.5391704</v>
          </cell>
          <cell r="E46">
            <v>312085.24</v>
          </cell>
        </row>
        <row r="47">
          <cell r="A47" t="str">
            <v>San Mateo</v>
          </cell>
          <cell r="B47">
            <v>63.1</v>
          </cell>
          <cell r="C47">
            <v>7444144.4960000031</v>
          </cell>
          <cell r="D47">
            <v>2499395.3184560002</v>
          </cell>
          <cell r="E47">
            <v>1838166.1</v>
          </cell>
        </row>
        <row r="48">
          <cell r="A48" t="str">
            <v>Santa Barbara</v>
          </cell>
          <cell r="B48">
            <v>31.1</v>
          </cell>
          <cell r="C48">
            <v>3312694.8925000005</v>
          </cell>
          <cell r="D48">
            <v>1401606.5694151248</v>
          </cell>
          <cell r="E48">
            <v>693728.5</v>
          </cell>
        </row>
        <row r="49">
          <cell r="A49" t="str">
            <v>Santa Clara</v>
          </cell>
          <cell r="B49">
            <v>81.2</v>
          </cell>
          <cell r="C49">
            <v>9884899.9693020023</v>
          </cell>
          <cell r="D49">
            <v>3620609.6960500814</v>
          </cell>
          <cell r="E49">
            <v>2223308.9203338814</v>
          </cell>
        </row>
        <row r="50">
          <cell r="A50" t="str">
            <v>Santa Cruz</v>
          </cell>
          <cell r="B50">
            <v>17.2</v>
          </cell>
          <cell r="C50">
            <v>2087405.83</v>
          </cell>
          <cell r="D50">
            <v>779586.02273750014</v>
          </cell>
          <cell r="E50">
            <v>510088.42853323137</v>
          </cell>
        </row>
        <row r="51">
          <cell r="A51" t="str">
            <v>Shasta</v>
          </cell>
          <cell r="B51">
            <v>17.95</v>
          </cell>
          <cell r="C51">
            <v>1672475.6935000001</v>
          </cell>
          <cell r="D51">
            <v>275442.59467575001</v>
          </cell>
          <cell r="E51">
            <v>537437.4</v>
          </cell>
        </row>
        <row r="52">
          <cell r="A52" t="str">
            <v>Sierra</v>
          </cell>
          <cell r="B52">
            <v>1.45</v>
          </cell>
          <cell r="C52">
            <v>114635.6335</v>
          </cell>
          <cell r="D52">
            <v>34046.428503349998</v>
          </cell>
          <cell r="E52">
            <v>57380.614999999998</v>
          </cell>
        </row>
        <row r="53">
          <cell r="A53" t="str">
            <v>Siskiyou</v>
          </cell>
          <cell r="B53">
            <v>2.5499999999999998</v>
          </cell>
          <cell r="C53">
            <v>284480.79250000004</v>
          </cell>
          <cell r="D53">
            <v>128938.07439270001</v>
          </cell>
          <cell r="E53">
            <v>82319.864999999991</v>
          </cell>
        </row>
        <row r="54">
          <cell r="A54" t="str">
            <v>Solano</v>
          </cell>
          <cell r="B54">
            <v>23.85</v>
          </cell>
          <cell r="C54">
            <v>2495454.7051376351</v>
          </cell>
          <cell r="D54">
            <v>1370972.9407926151</v>
          </cell>
          <cell r="E54">
            <v>577797.60649999999</v>
          </cell>
        </row>
        <row r="55">
          <cell r="A55" t="str">
            <v>Sonoma</v>
          </cell>
          <cell r="B55">
            <v>21.5</v>
          </cell>
          <cell r="C55">
            <v>2376755.1664200001</v>
          </cell>
          <cell r="D55">
            <v>974552.02774521487</v>
          </cell>
          <cell r="E55">
            <v>610080.83000000007</v>
          </cell>
        </row>
        <row r="56">
          <cell r="A56" t="str">
            <v>Stanislaus</v>
          </cell>
          <cell r="B56">
            <v>37.450000000000003</v>
          </cell>
          <cell r="C56">
            <v>4003265.1639999999</v>
          </cell>
          <cell r="D56">
            <v>1546611.2216104004</v>
          </cell>
          <cell r="E56">
            <v>971056.11688738666</v>
          </cell>
        </row>
        <row r="57">
          <cell r="A57" t="str">
            <v>Sutter</v>
          </cell>
          <cell r="B57">
            <v>12</v>
          </cell>
          <cell r="C57">
            <v>1208767.71</v>
          </cell>
          <cell r="D57">
            <v>512485.46172799997</v>
          </cell>
          <cell r="E57">
            <v>368271.54</v>
          </cell>
        </row>
        <row r="58">
          <cell r="A58" t="str">
            <v>Tehama</v>
          </cell>
          <cell r="B58">
            <v>5.85</v>
          </cell>
          <cell r="C58">
            <v>544909.22900000005</v>
          </cell>
          <cell r="D58">
            <v>214476.27253439996</v>
          </cell>
          <cell r="E58">
            <v>167544.93599999999</v>
          </cell>
        </row>
        <row r="59">
          <cell r="A59" t="str">
            <v>Trinity</v>
          </cell>
          <cell r="B59">
            <v>1.96</v>
          </cell>
          <cell r="C59">
            <v>157895.81133333337</v>
          </cell>
          <cell r="D59">
            <v>37025.871143600009</v>
          </cell>
          <cell r="E59">
            <v>15116.377265415553</v>
          </cell>
        </row>
        <row r="60">
          <cell r="A60" t="str">
            <v>Tulare</v>
          </cell>
          <cell r="B60">
            <v>33.75</v>
          </cell>
          <cell r="C60">
            <v>3419005.3369999994</v>
          </cell>
          <cell r="D60">
            <v>1043595.28537032</v>
          </cell>
          <cell r="E60">
            <v>1303305.4850000003</v>
          </cell>
        </row>
        <row r="61">
          <cell r="A61" t="str">
            <v>Tuolumne</v>
          </cell>
          <cell r="B61">
            <v>5.6</v>
          </cell>
          <cell r="C61">
            <v>518374.8</v>
          </cell>
          <cell r="D61">
            <v>169523.09080799998</v>
          </cell>
          <cell r="E61">
            <v>211987.17600000004</v>
          </cell>
        </row>
        <row r="62">
          <cell r="A62" t="str">
            <v>Ventura</v>
          </cell>
          <cell r="B62">
            <v>45.428799999999995</v>
          </cell>
          <cell r="C62">
            <v>5552150.3124219989</v>
          </cell>
          <cell r="D62">
            <v>1412150.3657755114</v>
          </cell>
          <cell r="E62">
            <v>1105194.5355079998</v>
          </cell>
        </row>
        <row r="63">
          <cell r="A63" t="str">
            <v>Yolo</v>
          </cell>
          <cell r="B63">
            <v>15</v>
          </cell>
          <cell r="C63">
            <v>1535146.62</v>
          </cell>
          <cell r="D63">
            <v>289507.31586599996</v>
          </cell>
          <cell r="E63">
            <v>815514.03000000014</v>
          </cell>
        </row>
        <row r="64">
          <cell r="A64" t="str">
            <v>Yuba</v>
          </cell>
          <cell r="B64">
            <v>9</v>
          </cell>
          <cell r="C64">
            <v>850810</v>
          </cell>
          <cell r="D64">
            <v>91291.913</v>
          </cell>
          <cell r="E64">
            <v>165416.61000000002</v>
          </cell>
        </row>
      </sheetData>
      <sheetData sheetId="2">
        <row r="7">
          <cell r="B7" t="str">
            <v>Alameda</v>
          </cell>
          <cell r="D7">
            <v>1</v>
          </cell>
          <cell r="E7">
            <v>317430.82686399994</v>
          </cell>
        </row>
        <row r="8">
          <cell r="B8" t="str">
            <v>Alpine</v>
          </cell>
          <cell r="D8">
            <v>1</v>
          </cell>
          <cell r="E8">
            <v>130000</v>
          </cell>
        </row>
        <row r="9">
          <cell r="B9" t="str">
            <v>Amador</v>
          </cell>
          <cell r="D9">
            <v>1</v>
          </cell>
          <cell r="E9">
            <v>174236.14</v>
          </cell>
        </row>
        <row r="10">
          <cell r="B10" t="str">
            <v>Butte</v>
          </cell>
          <cell r="D10">
            <v>1</v>
          </cell>
          <cell r="E10">
            <v>244298.22000000009</v>
          </cell>
        </row>
        <row r="11">
          <cell r="B11" t="str">
            <v>Calaveras</v>
          </cell>
          <cell r="D11">
            <v>1</v>
          </cell>
          <cell r="E11">
            <v>168000</v>
          </cell>
        </row>
        <row r="12">
          <cell r="B12" t="str">
            <v>Colusa</v>
          </cell>
          <cell r="D12">
            <v>1</v>
          </cell>
          <cell r="E12">
            <v>144441</v>
          </cell>
        </row>
        <row r="13">
          <cell r="B13" t="str">
            <v>Contra Costa</v>
          </cell>
          <cell r="D13">
            <v>1</v>
          </cell>
          <cell r="E13">
            <v>240000.00000000003</v>
          </cell>
        </row>
        <row r="14">
          <cell r="B14" t="str">
            <v>Del Norte</v>
          </cell>
          <cell r="D14">
            <v>1</v>
          </cell>
          <cell r="E14">
            <v>162255</v>
          </cell>
        </row>
        <row r="15">
          <cell r="B15" t="str">
            <v>El Dorado</v>
          </cell>
          <cell r="D15">
            <v>1</v>
          </cell>
          <cell r="E15">
            <v>241780.864</v>
          </cell>
        </row>
        <row r="16">
          <cell r="B16" t="str">
            <v>Fresno</v>
          </cell>
          <cell r="D16">
            <v>1</v>
          </cell>
          <cell r="E16">
            <v>241008.35</v>
          </cell>
        </row>
        <row r="17">
          <cell r="B17" t="str">
            <v>Glenn</v>
          </cell>
          <cell r="D17">
            <v>1</v>
          </cell>
          <cell r="E17">
            <v>170000</v>
          </cell>
        </row>
        <row r="18">
          <cell r="B18" t="str">
            <v>Humboldt</v>
          </cell>
          <cell r="D18">
            <v>1</v>
          </cell>
          <cell r="E18">
            <v>172924</v>
          </cell>
        </row>
        <row r="19">
          <cell r="B19" t="str">
            <v>Imperial</v>
          </cell>
          <cell r="D19">
            <v>1</v>
          </cell>
          <cell r="E19">
            <v>216962.65718400001</v>
          </cell>
        </row>
        <row r="20">
          <cell r="B20" t="str">
            <v>Inyo</v>
          </cell>
          <cell r="D20">
            <v>1</v>
          </cell>
          <cell r="E20">
            <v>180000</v>
          </cell>
        </row>
        <row r="21">
          <cell r="B21" t="str">
            <v>Kern</v>
          </cell>
          <cell r="D21">
            <v>1</v>
          </cell>
          <cell r="E21">
            <v>217357.07685300001</v>
          </cell>
        </row>
        <row r="22">
          <cell r="B22" t="str">
            <v>Kings</v>
          </cell>
          <cell r="D22">
            <v>1</v>
          </cell>
          <cell r="E22">
            <v>219155.04</v>
          </cell>
        </row>
        <row r="23">
          <cell r="B23" t="str">
            <v>Lake</v>
          </cell>
          <cell r="D23">
            <v>1</v>
          </cell>
          <cell r="E23">
            <v>237036</v>
          </cell>
        </row>
        <row r="24">
          <cell r="B24" t="str">
            <v>Lassen</v>
          </cell>
          <cell r="D24">
            <v>1</v>
          </cell>
          <cell r="E24">
            <v>138141</v>
          </cell>
        </row>
        <row r="25">
          <cell r="B25" t="str">
            <v>Los Angeles</v>
          </cell>
          <cell r="D25">
            <v>1</v>
          </cell>
          <cell r="E25">
            <v>515875.384272</v>
          </cell>
        </row>
        <row r="26">
          <cell r="B26" t="str">
            <v>Madera</v>
          </cell>
          <cell r="D26">
            <v>1</v>
          </cell>
          <cell r="E26">
            <v>215214</v>
          </cell>
        </row>
        <row r="27">
          <cell r="B27" t="str">
            <v>Marin</v>
          </cell>
          <cell r="D27">
            <v>1</v>
          </cell>
          <cell r="E27">
            <v>287345.84999999998</v>
          </cell>
        </row>
        <row r="28">
          <cell r="B28" t="str">
            <v>Mariposa</v>
          </cell>
          <cell r="D28">
            <v>1</v>
          </cell>
          <cell r="E28">
            <v>134449.49</v>
          </cell>
        </row>
        <row r="29">
          <cell r="B29" t="str">
            <v>Mendocino</v>
          </cell>
          <cell r="D29">
            <v>1</v>
          </cell>
          <cell r="E29">
            <v>250266</v>
          </cell>
        </row>
        <row r="30">
          <cell r="B30" t="str">
            <v>Merced</v>
          </cell>
          <cell r="D30">
            <v>1</v>
          </cell>
          <cell r="E30">
            <v>205628.80000000002</v>
          </cell>
        </row>
        <row r="31">
          <cell r="B31" t="str">
            <v>Modoc</v>
          </cell>
          <cell r="D31">
            <v>1</v>
          </cell>
          <cell r="E31">
            <v>155187.48000000001</v>
          </cell>
        </row>
        <row r="32">
          <cell r="B32" t="str">
            <v>Mono</v>
          </cell>
          <cell r="D32">
            <v>1</v>
          </cell>
          <cell r="E32">
            <v>148259</v>
          </cell>
        </row>
        <row r="33">
          <cell r="B33" t="str">
            <v>Monterey</v>
          </cell>
          <cell r="D33">
            <v>1</v>
          </cell>
          <cell r="E33">
            <v>227500</v>
          </cell>
        </row>
        <row r="34">
          <cell r="B34" t="str">
            <v>Napa</v>
          </cell>
          <cell r="D34">
            <v>1</v>
          </cell>
          <cell r="E34">
            <v>232565</v>
          </cell>
        </row>
        <row r="35">
          <cell r="B35" t="str">
            <v>Nevada</v>
          </cell>
          <cell r="D35">
            <v>1</v>
          </cell>
          <cell r="E35">
            <v>208017.94999999998</v>
          </cell>
        </row>
        <row r="36">
          <cell r="B36" t="str">
            <v>Orange</v>
          </cell>
          <cell r="D36">
            <v>1</v>
          </cell>
          <cell r="E36">
            <v>335291.04000000004</v>
          </cell>
        </row>
        <row r="37">
          <cell r="B37" t="str">
            <v>Placer</v>
          </cell>
          <cell r="D37">
            <v>1</v>
          </cell>
          <cell r="E37">
            <v>258752.04</v>
          </cell>
        </row>
        <row r="38">
          <cell r="B38" t="str">
            <v>Plumas</v>
          </cell>
          <cell r="D38">
            <v>1</v>
          </cell>
          <cell r="E38">
            <v>147000</v>
          </cell>
        </row>
        <row r="39">
          <cell r="B39" t="str">
            <v>Riverside</v>
          </cell>
          <cell r="D39">
            <v>1</v>
          </cell>
          <cell r="E39">
            <v>285829.7</v>
          </cell>
        </row>
        <row r="40">
          <cell r="B40" t="str">
            <v>Sacramento</v>
          </cell>
          <cell r="D40">
            <v>1</v>
          </cell>
          <cell r="E40">
            <v>287752.5</v>
          </cell>
        </row>
        <row r="41">
          <cell r="B41" t="str">
            <v>San Benito</v>
          </cell>
          <cell r="D41">
            <v>1</v>
          </cell>
          <cell r="E41">
            <v>210888</v>
          </cell>
        </row>
        <row r="42">
          <cell r="B42" t="str">
            <v>San Bernardino</v>
          </cell>
          <cell r="D42">
            <v>1</v>
          </cell>
          <cell r="E42">
            <v>308779.92</v>
          </cell>
        </row>
        <row r="43">
          <cell r="B43" t="str">
            <v>San Diego</v>
          </cell>
          <cell r="D43">
            <v>1</v>
          </cell>
          <cell r="E43">
            <v>332708.57</v>
          </cell>
        </row>
        <row r="44">
          <cell r="B44" t="str">
            <v>San Francisco</v>
          </cell>
          <cell r="D44">
            <v>1</v>
          </cell>
          <cell r="E44">
            <v>266163.80999999907</v>
          </cell>
        </row>
        <row r="45">
          <cell r="B45" t="str">
            <v>San Joaquin</v>
          </cell>
          <cell r="D45">
            <v>1</v>
          </cell>
          <cell r="E45">
            <v>267168.01</v>
          </cell>
        </row>
        <row r="46">
          <cell r="B46" t="str">
            <v>San Luis Obispo</v>
          </cell>
          <cell r="D46">
            <v>1</v>
          </cell>
          <cell r="E46">
            <v>239716.88</v>
          </cell>
        </row>
        <row r="47">
          <cell r="B47" t="str">
            <v>San Mateo</v>
          </cell>
          <cell r="D47">
            <v>1</v>
          </cell>
          <cell r="E47">
            <v>281652.8</v>
          </cell>
        </row>
        <row r="48">
          <cell r="B48" t="str">
            <v>Santa Barbara</v>
          </cell>
          <cell r="D48">
            <v>1</v>
          </cell>
          <cell r="E48">
            <v>241326.8</v>
          </cell>
        </row>
        <row r="49">
          <cell r="B49" t="str">
            <v>Santa Clara</v>
          </cell>
          <cell r="D49">
            <v>1</v>
          </cell>
          <cell r="E49">
            <v>320300.07439999998</v>
          </cell>
        </row>
        <row r="50">
          <cell r="B50" t="str">
            <v>Santa Cruz</v>
          </cell>
          <cell r="D50">
            <v>1</v>
          </cell>
          <cell r="E50">
            <v>231138</v>
          </cell>
        </row>
        <row r="51">
          <cell r="B51" t="str">
            <v>Shasta</v>
          </cell>
          <cell r="D51">
            <v>1</v>
          </cell>
          <cell r="E51">
            <v>191096.53</v>
          </cell>
        </row>
        <row r="52">
          <cell r="B52" t="str">
            <v>Sierra</v>
          </cell>
          <cell r="D52">
            <v>1</v>
          </cell>
          <cell r="E52">
            <v>164385</v>
          </cell>
        </row>
        <row r="53">
          <cell r="B53" t="str">
            <v>Siskiyou</v>
          </cell>
          <cell r="D53">
            <v>1</v>
          </cell>
          <cell r="E53">
            <v>208018</v>
          </cell>
        </row>
        <row r="54">
          <cell r="B54" t="str">
            <v>Solano</v>
          </cell>
          <cell r="D54">
            <v>1</v>
          </cell>
          <cell r="E54">
            <v>241868.17200000002</v>
          </cell>
        </row>
        <row r="55">
          <cell r="B55" t="str">
            <v>Sonoma</v>
          </cell>
          <cell r="D55">
            <v>1</v>
          </cell>
          <cell r="E55">
            <v>234607.68</v>
          </cell>
        </row>
        <row r="56">
          <cell r="B56" t="str">
            <v>Stanislaus</v>
          </cell>
          <cell r="D56">
            <v>1</v>
          </cell>
          <cell r="E56">
            <v>262497.56</v>
          </cell>
        </row>
        <row r="57">
          <cell r="B57" t="str">
            <v>Sutter</v>
          </cell>
          <cell r="D57">
            <v>1</v>
          </cell>
          <cell r="E57">
            <v>211617.94</v>
          </cell>
        </row>
        <row r="58">
          <cell r="B58" t="str">
            <v>Tehama</v>
          </cell>
          <cell r="D58">
            <v>1</v>
          </cell>
          <cell r="E58">
            <v>209698</v>
          </cell>
        </row>
        <row r="59">
          <cell r="B59" t="str">
            <v>Trinity</v>
          </cell>
          <cell r="D59">
            <v>1</v>
          </cell>
          <cell r="E59">
            <v>163807.44</v>
          </cell>
        </row>
        <row r="60">
          <cell r="B60" t="str">
            <v>Tulare</v>
          </cell>
          <cell r="D60">
            <v>1</v>
          </cell>
          <cell r="E60">
            <v>235012.75199999998</v>
          </cell>
        </row>
        <row r="61">
          <cell r="B61" t="str">
            <v>Tuolumne</v>
          </cell>
          <cell r="D61">
            <v>1</v>
          </cell>
          <cell r="E61">
            <v>166904</v>
          </cell>
        </row>
        <row r="62">
          <cell r="B62" t="str">
            <v>Ventura</v>
          </cell>
          <cell r="D62">
            <v>1</v>
          </cell>
          <cell r="E62">
            <v>295747.96999999997</v>
          </cell>
        </row>
        <row r="63">
          <cell r="B63" t="str">
            <v>Yolo</v>
          </cell>
          <cell r="D63">
            <v>1</v>
          </cell>
          <cell r="E63">
            <v>262086.45</v>
          </cell>
        </row>
        <row r="64">
          <cell r="B64" t="str">
            <v>Yuba</v>
          </cell>
          <cell r="D64">
            <v>1</v>
          </cell>
          <cell r="E64">
            <v>208018</v>
          </cell>
        </row>
      </sheetData>
      <sheetData sheetId="3">
        <row r="6">
          <cell r="B6">
            <v>1</v>
          </cell>
          <cell r="C6">
            <v>41526.749865606813</v>
          </cell>
        </row>
        <row r="7">
          <cell r="B7">
            <v>2</v>
          </cell>
          <cell r="C7">
            <v>26996.898124408544</v>
          </cell>
        </row>
        <row r="8">
          <cell r="B8">
            <v>3</v>
          </cell>
          <cell r="C8">
            <v>26996.898124408544</v>
          </cell>
        </row>
        <row r="9">
          <cell r="B9">
            <v>4</v>
          </cell>
          <cell r="C9">
            <v>26996.898124408544</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ME"/>
      <sheetName val="WF Need"/>
      <sheetName val="BLS"/>
      <sheetName val="RAS"/>
      <sheetName val="AVG RAS salary"/>
      <sheetName val="FTE Allotment Factor"/>
      <sheetName val="Program 10"/>
      <sheetName val="Program 90"/>
      <sheetName val="CEO Salary"/>
      <sheetName val="OE&amp;E by Cluster"/>
      <sheetName val="AB1058"/>
      <sheetName val="Floor Adjustment"/>
      <sheetName val="Floors"/>
      <sheetName val="SUMMARY"/>
    </sheetNames>
    <sheetDataSet>
      <sheetData sheetId="0"/>
      <sheetData sheetId="1"/>
      <sheetData sheetId="2"/>
      <sheetData sheetId="3"/>
      <sheetData sheetId="4"/>
      <sheetData sheetId="5"/>
      <sheetData sheetId="6"/>
      <sheetData sheetId="7"/>
      <sheetData sheetId="8"/>
      <sheetData sheetId="9"/>
      <sheetData sheetId="10">
        <row r="5">
          <cell r="B5" t="str">
            <v>Alameda</v>
          </cell>
          <cell r="C5">
            <v>1577988.58</v>
          </cell>
          <cell r="D5">
            <v>595744.44000000006</v>
          </cell>
        </row>
        <row r="6">
          <cell r="B6" t="str">
            <v>Alpine</v>
          </cell>
          <cell r="C6"/>
          <cell r="D6"/>
        </row>
        <row r="7">
          <cell r="B7" t="str">
            <v>Amador</v>
          </cell>
          <cell r="C7">
            <v>84890.290000000008</v>
          </cell>
          <cell r="D7">
            <v>50196.220000000008</v>
          </cell>
        </row>
        <row r="8">
          <cell r="B8" t="str">
            <v>Butte</v>
          </cell>
          <cell r="C8">
            <v>152999.99</v>
          </cell>
          <cell r="D8">
            <v>133432.99</v>
          </cell>
        </row>
        <row r="9">
          <cell r="B9" t="str">
            <v>Calaveras</v>
          </cell>
          <cell r="C9">
            <v>76780.500000000015</v>
          </cell>
          <cell r="D9">
            <v>22728.239999999998</v>
          </cell>
        </row>
        <row r="10">
          <cell r="B10" t="str">
            <v>Colusa</v>
          </cell>
          <cell r="C10">
            <v>36641.75</v>
          </cell>
          <cell r="D10">
            <v>42597.950000000004</v>
          </cell>
        </row>
        <row r="11">
          <cell r="B11" t="str">
            <v>Contra Costa</v>
          </cell>
          <cell r="C11">
            <v>753849.9800000001</v>
          </cell>
          <cell r="D11">
            <v>270332.07999999996</v>
          </cell>
        </row>
        <row r="12">
          <cell r="B12" t="str">
            <v>Del Norte</v>
          </cell>
          <cell r="C12">
            <v>53531.469999999994</v>
          </cell>
          <cell r="D12">
            <v>54095.860000000008</v>
          </cell>
        </row>
        <row r="13">
          <cell r="B13" t="str">
            <v>El Dorado</v>
          </cell>
          <cell r="C13">
            <v>111997.34000000001</v>
          </cell>
          <cell r="D13">
            <v>73741.679999999993</v>
          </cell>
        </row>
        <row r="14">
          <cell r="B14" t="str">
            <v>Fresno</v>
          </cell>
          <cell r="C14">
            <v>2186083.25</v>
          </cell>
          <cell r="D14">
            <v>382876.79000000004</v>
          </cell>
        </row>
        <row r="15">
          <cell r="B15" t="str">
            <v>Glenn</v>
          </cell>
          <cell r="C15">
            <v>119950.27</v>
          </cell>
          <cell r="D15">
            <v>29806.800000000003</v>
          </cell>
        </row>
        <row r="16">
          <cell r="B16" t="str">
            <v>Humboldt</v>
          </cell>
          <cell r="C16">
            <v>111187.39999999998</v>
          </cell>
          <cell r="D16">
            <v>91194.189999999988</v>
          </cell>
        </row>
        <row r="17">
          <cell r="B17" t="str">
            <v>Imperial</v>
          </cell>
          <cell r="C17">
            <v>315176.24</v>
          </cell>
          <cell r="D17">
            <v>12945.53</v>
          </cell>
        </row>
        <row r="18">
          <cell r="B18" t="str">
            <v>Inyo</v>
          </cell>
          <cell r="C18">
            <v>14969.11</v>
          </cell>
          <cell r="D18">
            <v>27507.809999999998</v>
          </cell>
        </row>
        <row r="19">
          <cell r="B19" t="str">
            <v>Kern</v>
          </cell>
          <cell r="C19">
            <v>1259794.24</v>
          </cell>
          <cell r="D19">
            <v>477205.00000000006</v>
          </cell>
        </row>
        <row r="20">
          <cell r="B20" t="str">
            <v>Kings</v>
          </cell>
          <cell r="C20">
            <v>310808.00000000006</v>
          </cell>
          <cell r="D20">
            <v>66699.499999999985</v>
          </cell>
        </row>
        <row r="21">
          <cell r="B21" t="str">
            <v>Lake</v>
          </cell>
          <cell r="C21">
            <v>100643.39</v>
          </cell>
          <cell r="D21">
            <v>73200</v>
          </cell>
        </row>
        <row r="22">
          <cell r="B22" t="str">
            <v>Lassen</v>
          </cell>
          <cell r="C22">
            <v>29226.690000000002</v>
          </cell>
          <cell r="D22">
            <v>67672.000000000015</v>
          </cell>
        </row>
        <row r="23">
          <cell r="B23" t="str">
            <v>Los Angeles</v>
          </cell>
          <cell r="C23">
            <v>7862503.669999999</v>
          </cell>
          <cell r="D23">
            <v>2810153.34</v>
          </cell>
        </row>
        <row r="24">
          <cell r="B24" t="str">
            <v>Madera</v>
          </cell>
          <cell r="C24">
            <v>280116.57999999996</v>
          </cell>
          <cell r="D24">
            <v>94371.940000000017</v>
          </cell>
        </row>
        <row r="25">
          <cell r="B25" t="str">
            <v>Marin</v>
          </cell>
          <cell r="C25">
            <v>141974</v>
          </cell>
          <cell r="D25">
            <v>124657</v>
          </cell>
        </row>
        <row r="26">
          <cell r="B26" t="str">
            <v>Mariposa</v>
          </cell>
          <cell r="C26">
            <v>20366.349999999999</v>
          </cell>
          <cell r="D26">
            <v>2479.83</v>
          </cell>
        </row>
        <row r="27">
          <cell r="B27" t="str">
            <v>Mendocino</v>
          </cell>
          <cell r="C27">
            <v>149993.65</v>
          </cell>
          <cell r="D27">
            <v>76829.53</v>
          </cell>
        </row>
        <row r="28">
          <cell r="B28" t="str">
            <v>Merced</v>
          </cell>
          <cell r="C28">
            <v>662321.61999999988</v>
          </cell>
          <cell r="D28">
            <v>149823</v>
          </cell>
        </row>
        <row r="29">
          <cell r="B29" t="str">
            <v>Modoc</v>
          </cell>
          <cell r="C29"/>
          <cell r="D29">
            <v>71817.999999999985</v>
          </cell>
        </row>
        <row r="30">
          <cell r="B30" t="str">
            <v>Mono</v>
          </cell>
          <cell r="C30">
            <v>7364.5599999999986</v>
          </cell>
          <cell r="D30">
            <v>48962.039999999994</v>
          </cell>
        </row>
        <row r="31">
          <cell r="B31" t="str">
            <v>Monterey</v>
          </cell>
          <cell r="C31">
            <v>450591.79000000004</v>
          </cell>
          <cell r="D31">
            <v>185314.54</v>
          </cell>
        </row>
        <row r="32">
          <cell r="B32" t="str">
            <v>Napa</v>
          </cell>
          <cell r="C32">
            <v>87948.35</v>
          </cell>
          <cell r="D32">
            <v>97642.84</v>
          </cell>
        </row>
        <row r="33">
          <cell r="B33" t="str">
            <v>Nevada</v>
          </cell>
          <cell r="C33">
            <v>248342.69000000003</v>
          </cell>
          <cell r="D33">
            <v>116579</v>
          </cell>
        </row>
        <row r="34">
          <cell r="B34" t="str">
            <v>Orange</v>
          </cell>
          <cell r="C34">
            <v>2213223.0699999998</v>
          </cell>
          <cell r="D34">
            <v>832825.9800000001</v>
          </cell>
        </row>
        <row r="35">
          <cell r="B35" t="str">
            <v>Placer</v>
          </cell>
          <cell r="C35">
            <v>296703.98</v>
          </cell>
          <cell r="D35">
            <v>60844.29</v>
          </cell>
        </row>
        <row r="36">
          <cell r="B36" t="str">
            <v>Plumas</v>
          </cell>
          <cell r="C36">
            <v>79539.289999999979</v>
          </cell>
          <cell r="D36">
            <v>49270</v>
          </cell>
        </row>
        <row r="37">
          <cell r="B37" t="str">
            <v>Riverside</v>
          </cell>
          <cell r="C37">
            <v>1941920.1900000002</v>
          </cell>
          <cell r="D37">
            <v>809939.99</v>
          </cell>
        </row>
        <row r="38">
          <cell r="B38" t="str">
            <v>Sacramento</v>
          </cell>
          <cell r="C38">
            <v>1984445.4299999997</v>
          </cell>
          <cell r="D38">
            <v>545249</v>
          </cell>
        </row>
        <row r="39">
          <cell r="B39" t="str">
            <v>San Benito</v>
          </cell>
          <cell r="C39">
            <v>104651.52000000002</v>
          </cell>
          <cell r="D39">
            <v>78943.73000000001</v>
          </cell>
        </row>
        <row r="40">
          <cell r="B40" t="str">
            <v>San Bernardino</v>
          </cell>
          <cell r="C40">
            <v>3617298.3899999997</v>
          </cell>
          <cell r="D40">
            <v>764605.00000000012</v>
          </cell>
        </row>
        <row r="41">
          <cell r="B41" t="str">
            <v>San Diego</v>
          </cell>
          <cell r="C41">
            <v>3118892.19</v>
          </cell>
          <cell r="D41">
            <v>988157.00000000012</v>
          </cell>
        </row>
        <row r="42">
          <cell r="B42" t="str">
            <v>San Francisco</v>
          </cell>
          <cell r="C42">
            <v>820259.87</v>
          </cell>
          <cell r="D42">
            <v>251059</v>
          </cell>
        </row>
        <row r="43">
          <cell r="B43" t="str">
            <v>San Joaquin</v>
          </cell>
          <cell r="C43">
            <v>803994.1599999998</v>
          </cell>
          <cell r="D43">
            <v>277454.83000000007</v>
          </cell>
        </row>
        <row r="44">
          <cell r="B44" t="str">
            <v>San Luis Obispo</v>
          </cell>
          <cell r="C44">
            <v>86016.959999999992</v>
          </cell>
          <cell r="D44">
            <v>102744.71999999999</v>
          </cell>
        </row>
        <row r="45">
          <cell r="B45" t="str">
            <v>San Mateo</v>
          </cell>
          <cell r="C45">
            <v>423777.16</v>
          </cell>
          <cell r="D45">
            <v>252662.65</v>
          </cell>
        </row>
        <row r="46">
          <cell r="B46" t="str">
            <v>Santa Barbara</v>
          </cell>
          <cell r="C46">
            <v>590431.94999999984</v>
          </cell>
          <cell r="D46">
            <v>165217.94</v>
          </cell>
        </row>
        <row r="47">
          <cell r="B47" t="str">
            <v>Santa Clara</v>
          </cell>
          <cell r="C47">
            <v>1490655.76</v>
          </cell>
          <cell r="D47">
            <v>624747.66</v>
          </cell>
        </row>
        <row r="48">
          <cell r="B48" t="str">
            <v>Santa Cruz</v>
          </cell>
          <cell r="C48">
            <v>224846.03</v>
          </cell>
          <cell r="D48">
            <v>126166.51</v>
          </cell>
        </row>
        <row r="49">
          <cell r="B49" t="str">
            <v>Shasta</v>
          </cell>
          <cell r="C49">
            <v>382252.72000000003</v>
          </cell>
          <cell r="D49">
            <v>195723.78</v>
          </cell>
        </row>
        <row r="50">
          <cell r="B50" t="str">
            <v>Sierra</v>
          </cell>
          <cell r="C50"/>
          <cell r="D50"/>
        </row>
        <row r="51">
          <cell r="B51" t="str">
            <v>Siskiyou</v>
          </cell>
          <cell r="C51">
            <v>64742.79</v>
          </cell>
          <cell r="D51">
            <v>94830.96</v>
          </cell>
        </row>
        <row r="52">
          <cell r="B52" t="str">
            <v>Solano</v>
          </cell>
          <cell r="C52">
            <v>599579</v>
          </cell>
          <cell r="D52">
            <v>168045.59</v>
          </cell>
        </row>
        <row r="53">
          <cell r="B53" t="str">
            <v>Sonoma</v>
          </cell>
          <cell r="C53">
            <v>182900.81000000003</v>
          </cell>
          <cell r="D53">
            <v>136858.66999999998</v>
          </cell>
        </row>
        <row r="54">
          <cell r="B54" t="str">
            <v>Stanislaus</v>
          </cell>
          <cell r="C54">
            <v>827964.06</v>
          </cell>
          <cell r="D54">
            <v>290360</v>
          </cell>
        </row>
        <row r="55">
          <cell r="B55" t="str">
            <v>Sutter</v>
          </cell>
          <cell r="C55">
            <v>193291.99000000002</v>
          </cell>
          <cell r="D55">
            <v>81132.999999999985</v>
          </cell>
        </row>
        <row r="56">
          <cell r="B56" t="str">
            <v>Tehama</v>
          </cell>
          <cell r="C56">
            <v>140873.76999999999</v>
          </cell>
          <cell r="D56">
            <v>11441.31</v>
          </cell>
        </row>
        <row r="57">
          <cell r="B57" t="str">
            <v>Trinity</v>
          </cell>
          <cell r="C57"/>
          <cell r="D57"/>
        </row>
        <row r="58">
          <cell r="B58" t="str">
            <v>Tulare</v>
          </cell>
          <cell r="C58">
            <v>613222</v>
          </cell>
          <cell r="D58">
            <v>384814.68999999994</v>
          </cell>
        </row>
        <row r="59">
          <cell r="B59" t="str">
            <v>Tuolumne</v>
          </cell>
          <cell r="C59">
            <v>202217.02999999997</v>
          </cell>
          <cell r="D59">
            <v>78387</v>
          </cell>
        </row>
        <row r="60">
          <cell r="B60" t="str">
            <v>Ventura</v>
          </cell>
          <cell r="C60">
            <v>239318</v>
          </cell>
          <cell r="D60">
            <v>311562</v>
          </cell>
        </row>
        <row r="61">
          <cell r="B61" t="str">
            <v>Yolo</v>
          </cell>
          <cell r="C61">
            <v>156118.06999999998</v>
          </cell>
          <cell r="D61">
            <v>115352.00000000001</v>
          </cell>
        </row>
        <row r="62">
          <cell r="B62" t="str">
            <v>Yuba</v>
          </cell>
          <cell r="C62">
            <v>173794.38000000003</v>
          </cell>
          <cell r="D62">
            <v>75226.06</v>
          </cell>
        </row>
      </sheetData>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 1% Calculation"/>
      <sheetName val="B1- Restricted Rev Detail"/>
      <sheetName val="B2 - Restricted Rev Description"/>
      <sheetName val="1% Calc Sample other"/>
      <sheetName val="Combo Box"/>
    </sheetNames>
    <sheetDataSet>
      <sheetData sheetId="0" refreshError="1"/>
      <sheetData sheetId="1">
        <row r="33">
          <cell r="D33">
            <v>0</v>
          </cell>
        </row>
      </sheetData>
      <sheetData sheetId="2" refreshError="1"/>
      <sheetData sheetId="3" refreshError="1"/>
      <sheetData sheetId="4">
        <row r="2">
          <cell r="A2" t="str">
            <v>General Fund -- TCTF</v>
          </cell>
          <cell r="B2" t="str">
            <v>Please select your court from the list</v>
          </cell>
          <cell r="C2" t="str">
            <v>Please select the fiscal year from the list</v>
          </cell>
          <cell r="D2" t="str">
            <v>B&amp;P 470.5</v>
          </cell>
        </row>
        <row r="3">
          <cell r="A3" t="str">
            <v>General Fund -- Non-TCTF</v>
          </cell>
          <cell r="B3" t="str">
            <v>Superior Court - Alameda</v>
          </cell>
          <cell r="C3" t="str">
            <v>as of June 30, 2014</v>
          </cell>
          <cell r="D3" t="str">
            <v>CCP 116.230</v>
          </cell>
        </row>
        <row r="4">
          <cell r="A4" t="str">
            <v>Special Revenue Non-Grant</v>
          </cell>
          <cell r="B4" t="str">
            <v>Superior Court - Alpine</v>
          </cell>
          <cell r="C4" t="str">
            <v>as of June 30, 2015</v>
          </cell>
          <cell r="D4" t="str">
            <v>GC 13963(f)</v>
          </cell>
        </row>
        <row r="5">
          <cell r="A5" t="str">
            <v>Capital Project</v>
          </cell>
          <cell r="B5" t="str">
            <v>Superior Court - Amador</v>
          </cell>
          <cell r="C5" t="str">
            <v>as of June 30, 2016</v>
          </cell>
          <cell r="D5" t="str">
            <v>GC 26731</v>
          </cell>
        </row>
        <row r="6">
          <cell r="B6" t="str">
            <v>Superior Court - Butte</v>
          </cell>
          <cell r="C6" t="str">
            <v>as of June 30, 2017</v>
          </cell>
          <cell r="D6" t="str">
            <v>GC 26863</v>
          </cell>
        </row>
        <row r="7">
          <cell r="B7" t="str">
            <v>Superior Court - Calaveras</v>
          </cell>
          <cell r="C7" t="str">
            <v>as of June 30, 2018</v>
          </cell>
          <cell r="D7" t="str">
            <v>GC 27361.4</v>
          </cell>
        </row>
        <row r="8">
          <cell r="B8" t="str">
            <v>Superior Court - Colusa</v>
          </cell>
          <cell r="C8" t="str">
            <v>as of June 30, 2019</v>
          </cell>
          <cell r="D8" t="str">
            <v>GC 66006</v>
          </cell>
        </row>
        <row r="9">
          <cell r="B9" t="str">
            <v>Superior Court - Contra Costa</v>
          </cell>
          <cell r="C9" t="str">
            <v>as of June 30, 2020</v>
          </cell>
          <cell r="D9" t="str">
            <v>GC 68090.8</v>
          </cell>
        </row>
        <row r="10">
          <cell r="B10" t="str">
            <v>Superior Court - Del Norte</v>
          </cell>
          <cell r="D10" t="str">
            <v>GC 70640</v>
          </cell>
        </row>
        <row r="11">
          <cell r="B11" t="str">
            <v>Superior Court - El Dorado</v>
          </cell>
          <cell r="D11" t="str">
            <v>GC 70678</v>
          </cell>
        </row>
        <row r="12">
          <cell r="B12" t="str">
            <v>Superior Court - Fresno</v>
          </cell>
          <cell r="D12" t="str">
            <v>GC 76223</v>
          </cell>
        </row>
        <row r="13">
          <cell r="B13" t="str">
            <v>Superior Court - Glenn</v>
          </cell>
          <cell r="D13" t="str">
            <v>GC 77207.5(b)</v>
          </cell>
        </row>
        <row r="14">
          <cell r="B14" t="str">
            <v>Superior Court - Humboldt</v>
          </cell>
          <cell r="D14" t="str">
            <v>GC 77209(h)</v>
          </cell>
        </row>
        <row r="15">
          <cell r="B15" t="str">
            <v>Superior Court - Imperial</v>
          </cell>
          <cell r="D15" t="str">
            <v>Penal Code 1027</v>
          </cell>
        </row>
        <row r="16">
          <cell r="B16" t="str">
            <v>Superior Court - Inyo</v>
          </cell>
          <cell r="D16" t="str">
            <v>Penal Code 1463.007</v>
          </cell>
        </row>
        <row r="17">
          <cell r="B17" t="str">
            <v>Superior Court - Kern</v>
          </cell>
          <cell r="D17" t="str">
            <v>Penal Code 1463.22(a)</v>
          </cell>
        </row>
        <row r="18">
          <cell r="B18" t="str">
            <v>Superior Court - Kings</v>
          </cell>
          <cell r="D18" t="str">
            <v>Penal Code 4750</v>
          </cell>
        </row>
        <row r="19">
          <cell r="B19" t="str">
            <v>Superior Court - Lake</v>
          </cell>
          <cell r="D19" t="str">
            <v>Penal Code 6005</v>
          </cell>
        </row>
        <row r="20">
          <cell r="B20" t="str">
            <v>Superior Court - Lassen</v>
          </cell>
          <cell r="D20" t="str">
            <v>VC 11205.2</v>
          </cell>
        </row>
        <row r="21">
          <cell r="B21" t="str">
            <v>Superior Court - Los Angeles</v>
          </cell>
          <cell r="D21" t="str">
            <v>VC 40508.6</v>
          </cell>
        </row>
        <row r="22">
          <cell r="B22" t="str">
            <v>Superior Court - Madera</v>
          </cell>
        </row>
        <row r="23">
          <cell r="B23" t="str">
            <v>Superior Court - Marin</v>
          </cell>
        </row>
        <row r="24">
          <cell r="B24" t="str">
            <v>Superior Court - Mariposa</v>
          </cell>
        </row>
        <row r="25">
          <cell r="B25" t="str">
            <v>Superior Court - Mendocino</v>
          </cell>
        </row>
        <row r="26">
          <cell r="B26" t="str">
            <v>Superior Court - Merced</v>
          </cell>
        </row>
        <row r="27">
          <cell r="B27" t="str">
            <v>Superior Court - Modoc</v>
          </cell>
        </row>
        <row r="28">
          <cell r="B28" t="str">
            <v>Superior Court - Mono</v>
          </cell>
        </row>
        <row r="29">
          <cell r="B29" t="str">
            <v>Superior Court - Monterey</v>
          </cell>
        </row>
        <row r="30">
          <cell r="B30" t="str">
            <v>Superior Court - Napa</v>
          </cell>
        </row>
        <row r="31">
          <cell r="B31" t="str">
            <v>Superior Court - Nevada</v>
          </cell>
        </row>
        <row r="32">
          <cell r="B32" t="str">
            <v>Superior Court - Orange</v>
          </cell>
        </row>
        <row r="33">
          <cell r="B33" t="str">
            <v>Superior Court - Placer</v>
          </cell>
        </row>
        <row r="34">
          <cell r="B34" t="str">
            <v>Superior Court - Plumas</v>
          </cell>
        </row>
        <row r="35">
          <cell r="B35" t="str">
            <v>Superior Court - Riverside</v>
          </cell>
        </row>
        <row r="36">
          <cell r="B36" t="str">
            <v>Superior Court - Sacramento</v>
          </cell>
        </row>
        <row r="37">
          <cell r="B37" t="str">
            <v>Superior Court - San Benito</v>
          </cell>
        </row>
        <row r="38">
          <cell r="B38" t="str">
            <v>Superior Court - San Bernardino</v>
          </cell>
        </row>
        <row r="39">
          <cell r="B39" t="str">
            <v>Superior Court - San Diego</v>
          </cell>
        </row>
        <row r="40">
          <cell r="B40" t="str">
            <v>Superior Court - San Francisco</v>
          </cell>
        </row>
        <row r="41">
          <cell r="B41" t="str">
            <v>Superior Court - San Joaquin</v>
          </cell>
        </row>
        <row r="42">
          <cell r="B42" t="str">
            <v>Superior Court - San Luis Obispo</v>
          </cell>
        </row>
        <row r="43">
          <cell r="B43" t="str">
            <v>Superior Court - San Mateo</v>
          </cell>
        </row>
        <row r="44">
          <cell r="B44" t="str">
            <v>Superior Court - Santa Barbara</v>
          </cell>
        </row>
        <row r="45">
          <cell r="B45" t="str">
            <v>Superior Court - Santa Clara</v>
          </cell>
        </row>
        <row r="46">
          <cell r="B46" t="str">
            <v>Superior Court - Santa Cruz</v>
          </cell>
        </row>
        <row r="47">
          <cell r="B47" t="str">
            <v>Superior Court - Shasta</v>
          </cell>
        </row>
        <row r="48">
          <cell r="B48" t="str">
            <v>Superior Court - Sierra</v>
          </cell>
        </row>
        <row r="49">
          <cell r="B49" t="str">
            <v>Superior Court - Siskiyou</v>
          </cell>
        </row>
        <row r="50">
          <cell r="B50" t="str">
            <v>Superior Court - Solano</v>
          </cell>
        </row>
        <row r="51">
          <cell r="B51" t="str">
            <v>Superior Court - Sonoma</v>
          </cell>
        </row>
        <row r="52">
          <cell r="B52" t="str">
            <v>Superior Court - Stanislaus</v>
          </cell>
        </row>
        <row r="53">
          <cell r="B53" t="str">
            <v>Superior Court - Sutter</v>
          </cell>
        </row>
        <row r="54">
          <cell r="B54" t="str">
            <v>Superior Court - Tehama</v>
          </cell>
        </row>
        <row r="55">
          <cell r="B55" t="str">
            <v>Superior Court - Trinity</v>
          </cell>
        </row>
        <row r="56">
          <cell r="B56" t="str">
            <v>Superior Court - Tulare</v>
          </cell>
        </row>
        <row r="57">
          <cell r="B57" t="str">
            <v>Superior Court - Tuolumne</v>
          </cell>
        </row>
        <row r="58">
          <cell r="B58" t="str">
            <v>Superior Court - Ventura</v>
          </cell>
        </row>
        <row r="59">
          <cell r="B59" t="str">
            <v>Superior Court - Yolo</v>
          </cell>
        </row>
        <row r="60">
          <cell r="B60" t="str">
            <v>Superior Court - Yuba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Report Template Example"/>
      <sheetName val="Report Template Instructions"/>
      <sheetName val="Report Template"/>
      <sheetName val="Schedule D Instructions"/>
      <sheetName val="Schedule D"/>
      <sheetName val="Schedule F Instructions"/>
      <sheetName val="Schedule F"/>
      <sheetName val="Certification"/>
      <sheetName val="Code"/>
    </sheetNames>
    <sheetDataSet>
      <sheetData sheetId="0"/>
      <sheetData sheetId="1"/>
      <sheetData sheetId="2"/>
      <sheetData sheetId="3">
        <row r="7">
          <cell r="A7">
            <v>1</v>
          </cell>
        </row>
      </sheetData>
      <sheetData sheetId="4"/>
      <sheetData sheetId="5"/>
      <sheetData sheetId="6"/>
      <sheetData sheetId="7"/>
      <sheetData sheetId="8"/>
      <sheetData sheetId="9">
        <row r="1">
          <cell r="B1" t="str">
            <v>PICK YOUR COURT FROM THIS LIST</v>
          </cell>
        </row>
        <row r="2">
          <cell r="B2" t="str">
            <v>Superior Court - Alameda</v>
          </cell>
        </row>
        <row r="3">
          <cell r="B3" t="str">
            <v>Superior Court - Alpine</v>
          </cell>
        </row>
        <row r="4">
          <cell r="B4" t="str">
            <v>Superior Court - Amador</v>
          </cell>
        </row>
        <row r="5">
          <cell r="B5" t="str">
            <v>Superior Court - Butte</v>
          </cell>
        </row>
        <row r="6">
          <cell r="B6" t="str">
            <v>Superior Court - Calaveras</v>
          </cell>
        </row>
        <row r="7">
          <cell r="B7" t="str">
            <v>Superior Court - Colusa</v>
          </cell>
        </row>
        <row r="8">
          <cell r="B8" t="str">
            <v>Superior Court - Contra Costa</v>
          </cell>
        </row>
        <row r="9">
          <cell r="B9" t="str">
            <v>Superior Court - Del Norte</v>
          </cell>
        </row>
        <row r="10">
          <cell r="B10" t="str">
            <v>Superior Court - El Dorado</v>
          </cell>
        </row>
        <row r="11">
          <cell r="B11" t="str">
            <v>Superior Court - Fresno</v>
          </cell>
        </row>
        <row r="12">
          <cell r="B12" t="str">
            <v>Superior Court - Glenn</v>
          </cell>
        </row>
        <row r="13">
          <cell r="B13" t="str">
            <v>Superior Court - Humboldt</v>
          </cell>
        </row>
        <row r="14">
          <cell r="B14" t="str">
            <v>Superior Court - Imperial</v>
          </cell>
        </row>
        <row r="15">
          <cell r="B15" t="str">
            <v>Superior Court - Inyo</v>
          </cell>
        </row>
        <row r="16">
          <cell r="B16" t="str">
            <v>Superior Court - Kern</v>
          </cell>
        </row>
        <row r="17">
          <cell r="B17" t="str">
            <v>Superior Court - Kings</v>
          </cell>
        </row>
        <row r="18">
          <cell r="B18" t="str">
            <v>Superior Court - Lake</v>
          </cell>
        </row>
        <row r="19">
          <cell r="B19" t="str">
            <v>Superior Court - Lassen</v>
          </cell>
        </row>
        <row r="20">
          <cell r="B20" t="str">
            <v>Superior Court - Los Angeles</v>
          </cell>
        </row>
        <row r="21">
          <cell r="B21" t="str">
            <v>Superior Court - Madera</v>
          </cell>
        </row>
        <row r="22">
          <cell r="B22" t="str">
            <v>Superior Court - Marin</v>
          </cell>
        </row>
        <row r="23">
          <cell r="B23" t="str">
            <v>Superior Court - Mariposa</v>
          </cell>
        </row>
        <row r="24">
          <cell r="B24" t="str">
            <v>Superior Court - Mendocino</v>
          </cell>
        </row>
        <row r="25">
          <cell r="B25" t="str">
            <v>Superior Court - Merced</v>
          </cell>
        </row>
        <row r="26">
          <cell r="B26" t="str">
            <v>Superior Court - Modoc</v>
          </cell>
        </row>
        <row r="27">
          <cell r="B27" t="str">
            <v>Superior Court - Mono</v>
          </cell>
        </row>
        <row r="28">
          <cell r="B28" t="str">
            <v>Superior Court - Monterey</v>
          </cell>
        </row>
        <row r="29">
          <cell r="B29" t="str">
            <v>Superior Court - Napa</v>
          </cell>
        </row>
        <row r="30">
          <cell r="B30" t="str">
            <v>Superior Court - Nevada</v>
          </cell>
        </row>
        <row r="31">
          <cell r="B31" t="str">
            <v>Superior Court - Orange</v>
          </cell>
        </row>
        <row r="32">
          <cell r="B32" t="str">
            <v>Superior Court - Placer</v>
          </cell>
        </row>
        <row r="33">
          <cell r="B33" t="str">
            <v>Superior Court - Plumas</v>
          </cell>
        </row>
        <row r="34">
          <cell r="B34" t="str">
            <v>Superior Court - Riverside</v>
          </cell>
        </row>
        <row r="35">
          <cell r="B35" t="str">
            <v>Superior Court - Sacramento</v>
          </cell>
        </row>
        <row r="36">
          <cell r="B36" t="str">
            <v>Superior Court - San Benito</v>
          </cell>
        </row>
        <row r="37">
          <cell r="B37" t="str">
            <v>Superior Court - San Bernardino</v>
          </cell>
        </row>
        <row r="38">
          <cell r="B38" t="str">
            <v>Superior Court - San Diego</v>
          </cell>
        </row>
        <row r="39">
          <cell r="B39" t="str">
            <v>Superior Court - San Francisco</v>
          </cell>
        </row>
        <row r="40">
          <cell r="B40" t="str">
            <v>Superior Court - San Joaquin</v>
          </cell>
        </row>
        <row r="41">
          <cell r="B41" t="str">
            <v>Superior Court - San Luis Obispo</v>
          </cell>
        </row>
        <row r="42">
          <cell r="B42" t="str">
            <v>Superior Court - San Mateo</v>
          </cell>
        </row>
        <row r="43">
          <cell r="B43" t="str">
            <v>Superior Court - Santa Barbara</v>
          </cell>
        </row>
        <row r="44">
          <cell r="B44" t="str">
            <v>Superior Court - Santa Clara</v>
          </cell>
        </row>
        <row r="45">
          <cell r="B45" t="str">
            <v>Superior Court - Santa Cruz</v>
          </cell>
        </row>
        <row r="46">
          <cell r="B46" t="str">
            <v>Superior Court - Shasta</v>
          </cell>
        </row>
        <row r="47">
          <cell r="B47" t="str">
            <v>Superior Court - Sierra</v>
          </cell>
        </row>
        <row r="48">
          <cell r="B48" t="str">
            <v>Superior Court - Siskiyou</v>
          </cell>
        </row>
        <row r="49">
          <cell r="B49" t="str">
            <v>Superior Court - Solano</v>
          </cell>
        </row>
        <row r="50">
          <cell r="B50" t="str">
            <v>Superior Court - Sonoma</v>
          </cell>
        </row>
        <row r="51">
          <cell r="B51" t="str">
            <v>Superior Court - Stanislaus</v>
          </cell>
        </row>
        <row r="52">
          <cell r="B52" t="str">
            <v>Superior Court - Sutter</v>
          </cell>
        </row>
        <row r="53">
          <cell r="B53" t="str">
            <v>Superior Court - Tehama</v>
          </cell>
        </row>
        <row r="54">
          <cell r="B54" t="str">
            <v>Superior Court - Trinity</v>
          </cell>
        </row>
        <row r="55">
          <cell r="B55" t="str">
            <v>Superior Court - Tulare</v>
          </cell>
        </row>
        <row r="56">
          <cell r="B56" t="str">
            <v>Superior Court - Tuolumne</v>
          </cell>
        </row>
        <row r="57">
          <cell r="B57" t="str">
            <v>Superior Court - Ventura</v>
          </cell>
        </row>
        <row r="58">
          <cell r="B58" t="str">
            <v>Superior Court - Yolo</v>
          </cell>
        </row>
        <row r="59">
          <cell r="B59" t="str">
            <v>Superior Court - Yuba</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1"/>
      <sheetName val="TCTF"/>
      <sheetName val="All funding sources"/>
      <sheetName val="OEE"/>
      <sheetName val="expenditure"/>
    </sheetNames>
    <sheetDataSet>
      <sheetData sheetId="0"/>
      <sheetData sheetId="1"/>
      <sheetData sheetId="2"/>
      <sheetData sheetId="3">
        <row r="4">
          <cell r="B4">
            <v>1</v>
          </cell>
          <cell r="C4">
            <v>36933</v>
          </cell>
        </row>
        <row r="5">
          <cell r="B5">
            <v>2</v>
          </cell>
          <cell r="C5">
            <v>21861</v>
          </cell>
        </row>
        <row r="6">
          <cell r="B6">
            <v>3</v>
          </cell>
          <cell r="C6">
            <v>20343</v>
          </cell>
        </row>
        <row r="7">
          <cell r="B7">
            <v>4</v>
          </cell>
          <cell r="C7">
            <v>17454</v>
          </cell>
        </row>
        <row r="12">
          <cell r="B12">
            <v>1</v>
          </cell>
          <cell r="C12">
            <v>40042</v>
          </cell>
        </row>
        <row r="13">
          <cell r="B13">
            <v>2</v>
          </cell>
          <cell r="C13">
            <v>24970</v>
          </cell>
        </row>
        <row r="14">
          <cell r="B14">
            <v>3</v>
          </cell>
          <cell r="C14">
            <v>23452</v>
          </cell>
        </row>
        <row r="15">
          <cell r="B15">
            <v>4</v>
          </cell>
          <cell r="C15">
            <v>20564</v>
          </cell>
        </row>
        <row r="45">
          <cell r="B45">
            <v>1</v>
          </cell>
          <cell r="C45">
            <v>43150</v>
          </cell>
        </row>
        <row r="46">
          <cell r="B46">
            <v>2</v>
          </cell>
          <cell r="C46">
            <v>27437</v>
          </cell>
        </row>
        <row r="47">
          <cell r="B47">
            <v>3</v>
          </cell>
          <cell r="C47">
            <v>28228</v>
          </cell>
        </row>
        <row r="48">
          <cell r="B48">
            <v>4</v>
          </cell>
          <cell r="C48">
            <v>25404</v>
          </cell>
        </row>
      </sheetData>
      <sheetData sheetId="4">
        <row r="5">
          <cell r="A5" t="str">
            <v>Alameda</v>
          </cell>
          <cell r="B5">
            <v>74556770</v>
          </cell>
          <cell r="C5">
            <v>16350926</v>
          </cell>
          <cell r="D5">
            <v>90907696</v>
          </cell>
          <cell r="E5">
            <v>76241396</v>
          </cell>
          <cell r="F5">
            <v>17154800</v>
          </cell>
          <cell r="G5">
            <v>93396196</v>
          </cell>
        </row>
        <row r="6">
          <cell r="A6" t="str">
            <v>Alpine</v>
          </cell>
          <cell r="B6">
            <v>290174</v>
          </cell>
          <cell r="C6">
            <v>207360</v>
          </cell>
          <cell r="D6">
            <v>497534</v>
          </cell>
          <cell r="E6">
            <v>290174</v>
          </cell>
          <cell r="F6">
            <v>216036</v>
          </cell>
          <cell r="G6">
            <v>506210</v>
          </cell>
        </row>
        <row r="7">
          <cell r="A7" t="str">
            <v>Amador</v>
          </cell>
          <cell r="B7">
            <v>2204121</v>
          </cell>
          <cell r="C7">
            <v>605212</v>
          </cell>
          <cell r="D7">
            <v>2809333</v>
          </cell>
          <cell r="E7">
            <v>2239416</v>
          </cell>
          <cell r="F7">
            <v>617967</v>
          </cell>
          <cell r="G7">
            <v>2857382</v>
          </cell>
        </row>
        <row r="8">
          <cell r="A8" t="str">
            <v>Butte</v>
          </cell>
          <cell r="B8">
            <v>8011539</v>
          </cell>
          <cell r="C8">
            <v>2688135</v>
          </cell>
          <cell r="D8">
            <v>10699674</v>
          </cell>
          <cell r="E8">
            <v>8474711</v>
          </cell>
          <cell r="F8">
            <v>2791561</v>
          </cell>
          <cell r="G8">
            <v>11266272</v>
          </cell>
        </row>
        <row r="9">
          <cell r="A9" t="str">
            <v>Calaveras</v>
          </cell>
          <cell r="B9">
            <v>2020542</v>
          </cell>
          <cell r="C9">
            <v>688788</v>
          </cell>
          <cell r="D9">
            <v>2709330</v>
          </cell>
          <cell r="E9">
            <v>2190802</v>
          </cell>
          <cell r="F9">
            <v>798754</v>
          </cell>
          <cell r="G9">
            <v>2989556</v>
          </cell>
        </row>
        <row r="10">
          <cell r="A10" t="str">
            <v>Colusa</v>
          </cell>
          <cell r="B10">
            <v>1117307</v>
          </cell>
          <cell r="C10">
            <v>775979</v>
          </cell>
          <cell r="D10">
            <v>1893285</v>
          </cell>
          <cell r="E10">
            <v>1117307</v>
          </cell>
          <cell r="F10">
            <v>775979</v>
          </cell>
          <cell r="G10">
            <v>1893285</v>
          </cell>
        </row>
        <row r="11">
          <cell r="A11" t="str">
            <v>Contra Costa</v>
          </cell>
          <cell r="B11">
            <v>38028992</v>
          </cell>
          <cell r="C11">
            <v>12120556</v>
          </cell>
          <cell r="D11">
            <v>50149548</v>
          </cell>
          <cell r="E11">
            <v>38683228</v>
          </cell>
          <cell r="F11">
            <v>14772859</v>
          </cell>
          <cell r="G11">
            <v>53456087</v>
          </cell>
        </row>
        <row r="12">
          <cell r="A12" t="str">
            <v>Del Norte</v>
          </cell>
          <cell r="B12">
            <v>2234213</v>
          </cell>
          <cell r="C12">
            <v>921063</v>
          </cell>
          <cell r="D12">
            <v>3155276</v>
          </cell>
          <cell r="E12">
            <v>2234213</v>
          </cell>
          <cell r="F12">
            <v>1081331</v>
          </cell>
          <cell r="G12">
            <v>3315543</v>
          </cell>
        </row>
        <row r="13">
          <cell r="A13" t="str">
            <v>El Dorado</v>
          </cell>
          <cell r="B13">
            <v>6757143</v>
          </cell>
          <cell r="C13">
            <v>2038210</v>
          </cell>
          <cell r="D13">
            <v>8795353</v>
          </cell>
          <cell r="E13">
            <v>6829411</v>
          </cell>
          <cell r="F13">
            <v>2105499</v>
          </cell>
          <cell r="G13">
            <v>8934910</v>
          </cell>
        </row>
        <row r="14">
          <cell r="A14" t="str">
            <v>Fresno</v>
          </cell>
          <cell r="B14">
            <v>44438174</v>
          </cell>
          <cell r="C14">
            <v>13462072</v>
          </cell>
          <cell r="D14">
            <v>57900246</v>
          </cell>
          <cell r="E14">
            <v>44697488</v>
          </cell>
          <cell r="F14">
            <v>18174883</v>
          </cell>
          <cell r="G14">
            <v>62872371</v>
          </cell>
        </row>
        <row r="15">
          <cell r="A15" t="str">
            <v>Glenn</v>
          </cell>
          <cell r="B15">
            <v>1491152</v>
          </cell>
          <cell r="C15">
            <v>875561</v>
          </cell>
          <cell r="D15">
            <v>2366713</v>
          </cell>
          <cell r="E15">
            <v>1490423</v>
          </cell>
          <cell r="F15">
            <v>875561</v>
          </cell>
          <cell r="G15">
            <v>2365983</v>
          </cell>
        </row>
        <row r="16">
          <cell r="A16" t="str">
            <v>Humboldt</v>
          </cell>
          <cell r="B16">
            <v>5270010</v>
          </cell>
          <cell r="C16">
            <v>2201860</v>
          </cell>
          <cell r="D16">
            <v>7471870</v>
          </cell>
          <cell r="E16">
            <v>5273363</v>
          </cell>
          <cell r="F16">
            <v>2200512</v>
          </cell>
          <cell r="G16">
            <v>7473875</v>
          </cell>
        </row>
        <row r="17">
          <cell r="A17" t="str">
            <v>Imperial</v>
          </cell>
          <cell r="B17">
            <v>7216528</v>
          </cell>
          <cell r="C17">
            <v>3435981</v>
          </cell>
          <cell r="D17">
            <v>10652509</v>
          </cell>
          <cell r="E17">
            <v>7916528</v>
          </cell>
          <cell r="F17">
            <v>4300808</v>
          </cell>
          <cell r="G17">
            <v>12217336</v>
          </cell>
        </row>
        <row r="18">
          <cell r="A18" t="str">
            <v>Inyo</v>
          </cell>
          <cell r="B18">
            <v>1451356</v>
          </cell>
          <cell r="C18">
            <v>999896</v>
          </cell>
          <cell r="D18">
            <v>2451252</v>
          </cell>
          <cell r="E18">
            <v>1572150</v>
          </cell>
          <cell r="F18">
            <v>1004385</v>
          </cell>
          <cell r="G18">
            <v>2576535</v>
          </cell>
        </row>
        <row r="19">
          <cell r="A19" t="str">
            <v>Kern</v>
          </cell>
          <cell r="B19">
            <v>39245165</v>
          </cell>
          <cell r="C19">
            <v>7500791</v>
          </cell>
          <cell r="D19">
            <v>46745956</v>
          </cell>
          <cell r="E19">
            <v>41907346</v>
          </cell>
          <cell r="F19">
            <v>11161780</v>
          </cell>
          <cell r="G19">
            <v>53069126</v>
          </cell>
        </row>
        <row r="20">
          <cell r="A20" t="str">
            <v>Kings</v>
          </cell>
          <cell r="B20">
            <v>5738811</v>
          </cell>
          <cell r="C20">
            <v>2531177</v>
          </cell>
          <cell r="D20">
            <v>8269989</v>
          </cell>
          <cell r="E20">
            <v>5743982</v>
          </cell>
          <cell r="F20">
            <v>2911857</v>
          </cell>
          <cell r="G20">
            <v>8655839</v>
          </cell>
        </row>
        <row r="21">
          <cell r="A21" t="str">
            <v>Lake</v>
          </cell>
          <cell r="B21">
            <v>2447547</v>
          </cell>
          <cell r="C21">
            <v>1348207</v>
          </cell>
          <cell r="D21">
            <v>3795754</v>
          </cell>
          <cell r="E21">
            <v>2448150</v>
          </cell>
          <cell r="F21">
            <v>1350696</v>
          </cell>
          <cell r="G21">
            <v>3798846</v>
          </cell>
        </row>
        <row r="22">
          <cell r="A22" t="str">
            <v>Lassen</v>
          </cell>
          <cell r="B22">
            <v>2440386</v>
          </cell>
          <cell r="C22">
            <v>648534</v>
          </cell>
          <cell r="D22">
            <v>3088921</v>
          </cell>
          <cell r="E22">
            <v>2478403</v>
          </cell>
          <cell r="F22">
            <v>866221</v>
          </cell>
          <cell r="G22">
            <v>3344624</v>
          </cell>
        </row>
        <row r="23">
          <cell r="A23" t="str">
            <v>Los Angeles</v>
          </cell>
          <cell r="B23">
            <v>533320096</v>
          </cell>
          <cell r="C23">
            <v>94076138</v>
          </cell>
          <cell r="D23">
            <v>627396234</v>
          </cell>
          <cell r="E23">
            <v>548201584</v>
          </cell>
          <cell r="F23">
            <v>105115077</v>
          </cell>
          <cell r="G23">
            <v>653316661</v>
          </cell>
        </row>
        <row r="24">
          <cell r="A24" t="str">
            <v>Madera</v>
          </cell>
          <cell r="B24">
            <v>6984463</v>
          </cell>
          <cell r="C24">
            <v>1829993</v>
          </cell>
          <cell r="D24">
            <v>8814456</v>
          </cell>
          <cell r="E24">
            <v>6984463</v>
          </cell>
          <cell r="F24">
            <v>1829993</v>
          </cell>
          <cell r="G24">
            <v>8814456</v>
          </cell>
        </row>
        <row r="25">
          <cell r="A25" t="str">
            <v>Marin</v>
          </cell>
          <cell r="B25">
            <v>12296183</v>
          </cell>
          <cell r="C25">
            <v>4348960</v>
          </cell>
          <cell r="D25">
            <v>16645143</v>
          </cell>
          <cell r="E25">
            <v>12318200</v>
          </cell>
          <cell r="F25">
            <v>4349663</v>
          </cell>
          <cell r="G25">
            <v>16667863</v>
          </cell>
        </row>
        <row r="26">
          <cell r="A26" t="str">
            <v>Mariposa</v>
          </cell>
          <cell r="B26">
            <v>792771</v>
          </cell>
          <cell r="C26">
            <v>508953</v>
          </cell>
          <cell r="D26">
            <v>1301724</v>
          </cell>
          <cell r="E26">
            <v>792771</v>
          </cell>
          <cell r="F26">
            <v>514721</v>
          </cell>
          <cell r="G26">
            <v>1307492</v>
          </cell>
        </row>
        <row r="27">
          <cell r="A27" t="str">
            <v>Mendocino</v>
          </cell>
          <cell r="B27">
            <v>5205920</v>
          </cell>
          <cell r="C27">
            <v>940891</v>
          </cell>
          <cell r="D27">
            <v>6146811</v>
          </cell>
          <cell r="E27">
            <v>5209013</v>
          </cell>
          <cell r="F27">
            <v>963936</v>
          </cell>
          <cell r="G27">
            <v>6172949</v>
          </cell>
        </row>
        <row r="28">
          <cell r="A28" t="str">
            <v>Merced</v>
          </cell>
          <cell r="B28">
            <v>9387944</v>
          </cell>
          <cell r="C28">
            <v>4310650</v>
          </cell>
          <cell r="D28">
            <v>13698594</v>
          </cell>
          <cell r="E28">
            <v>9391294</v>
          </cell>
          <cell r="F28">
            <v>4566454</v>
          </cell>
          <cell r="G28">
            <v>13957748</v>
          </cell>
        </row>
        <row r="29">
          <cell r="A29" t="str">
            <v>Modoc</v>
          </cell>
          <cell r="B29">
            <v>758375</v>
          </cell>
          <cell r="C29">
            <v>561387</v>
          </cell>
          <cell r="D29">
            <v>1319762</v>
          </cell>
          <cell r="E29">
            <v>823549</v>
          </cell>
          <cell r="F29">
            <v>569334</v>
          </cell>
          <cell r="G29">
            <v>1392883</v>
          </cell>
        </row>
        <row r="30">
          <cell r="A30" t="str">
            <v>Mono</v>
          </cell>
          <cell r="B30">
            <v>1056770</v>
          </cell>
          <cell r="C30">
            <v>724888</v>
          </cell>
          <cell r="D30">
            <v>1781659</v>
          </cell>
          <cell r="E30">
            <v>1056770</v>
          </cell>
          <cell r="F30">
            <v>726890</v>
          </cell>
          <cell r="G30">
            <v>1783661</v>
          </cell>
        </row>
        <row r="31">
          <cell r="A31" t="str">
            <v>Monterey</v>
          </cell>
          <cell r="B31">
            <v>16202406</v>
          </cell>
          <cell r="C31">
            <v>5976382</v>
          </cell>
          <cell r="D31">
            <v>22178787</v>
          </cell>
          <cell r="E31">
            <v>16427590</v>
          </cell>
          <cell r="F31">
            <v>6198033</v>
          </cell>
          <cell r="G31">
            <v>22625623</v>
          </cell>
        </row>
        <row r="32">
          <cell r="A32" t="str">
            <v>Napa</v>
          </cell>
          <cell r="B32">
            <v>7756884</v>
          </cell>
          <cell r="C32">
            <v>1423244</v>
          </cell>
          <cell r="D32">
            <v>9180128</v>
          </cell>
          <cell r="E32">
            <v>7756884</v>
          </cell>
          <cell r="F32">
            <v>1583470</v>
          </cell>
          <cell r="G32">
            <v>9340354</v>
          </cell>
        </row>
        <row r="33">
          <cell r="A33" t="str">
            <v>Nevada</v>
          </cell>
          <cell r="B33">
            <v>5112060</v>
          </cell>
          <cell r="C33">
            <v>1554144</v>
          </cell>
          <cell r="D33">
            <v>6666204</v>
          </cell>
          <cell r="E33">
            <v>5187318</v>
          </cell>
          <cell r="F33">
            <v>1834528</v>
          </cell>
          <cell r="G33">
            <v>7021846</v>
          </cell>
        </row>
        <row r="34">
          <cell r="A34" t="str">
            <v>Orange</v>
          </cell>
          <cell r="B34">
            <v>146660224</v>
          </cell>
          <cell r="C34">
            <v>37156769</v>
          </cell>
          <cell r="D34">
            <v>183816993</v>
          </cell>
          <cell r="E34">
            <v>151754036</v>
          </cell>
          <cell r="F34">
            <v>47084503</v>
          </cell>
          <cell r="G34">
            <v>198838539</v>
          </cell>
        </row>
        <row r="35">
          <cell r="A35" t="str">
            <v>Placer</v>
          </cell>
          <cell r="B35">
            <v>12463100</v>
          </cell>
          <cell r="C35">
            <v>2927110</v>
          </cell>
          <cell r="D35">
            <v>15390210</v>
          </cell>
          <cell r="E35">
            <v>12719832</v>
          </cell>
          <cell r="F35">
            <v>3058510</v>
          </cell>
          <cell r="G35">
            <v>15778341</v>
          </cell>
        </row>
        <row r="36">
          <cell r="A36" t="str">
            <v>Plumas</v>
          </cell>
          <cell r="B36">
            <v>1161223</v>
          </cell>
          <cell r="C36">
            <v>820246</v>
          </cell>
          <cell r="D36">
            <v>1981469</v>
          </cell>
          <cell r="E36">
            <v>1161223</v>
          </cell>
          <cell r="F36">
            <v>1155945</v>
          </cell>
          <cell r="G36">
            <v>2317168</v>
          </cell>
        </row>
        <row r="37">
          <cell r="A37" t="str">
            <v>Riverside</v>
          </cell>
          <cell r="B37">
            <v>88521764</v>
          </cell>
          <cell r="C37">
            <v>23012526</v>
          </cell>
          <cell r="D37">
            <v>111534290</v>
          </cell>
          <cell r="E37">
            <v>94579820</v>
          </cell>
          <cell r="F37">
            <v>29767160</v>
          </cell>
          <cell r="G37">
            <v>124346980</v>
          </cell>
        </row>
        <row r="38">
          <cell r="A38" t="str">
            <v>Sacramento</v>
          </cell>
          <cell r="B38">
            <v>71876964</v>
          </cell>
          <cell r="C38">
            <v>12335650</v>
          </cell>
          <cell r="D38">
            <v>84212614</v>
          </cell>
          <cell r="E38">
            <v>72532240</v>
          </cell>
          <cell r="F38">
            <v>13622005</v>
          </cell>
          <cell r="G38">
            <v>86154245</v>
          </cell>
        </row>
        <row r="39">
          <cell r="A39" t="str">
            <v>San Benito</v>
          </cell>
          <cell r="B39">
            <v>2414823</v>
          </cell>
          <cell r="C39">
            <v>845607</v>
          </cell>
          <cell r="D39">
            <v>3260430</v>
          </cell>
          <cell r="E39">
            <v>2414823</v>
          </cell>
          <cell r="F39">
            <v>848407</v>
          </cell>
          <cell r="G39">
            <v>3263230</v>
          </cell>
        </row>
        <row r="40">
          <cell r="A40" t="str">
            <v>San Bernardino</v>
          </cell>
          <cell r="B40">
            <v>78458900</v>
          </cell>
          <cell r="C40">
            <v>21515322</v>
          </cell>
          <cell r="D40">
            <v>99974222</v>
          </cell>
          <cell r="E40">
            <v>80473690</v>
          </cell>
          <cell r="F40">
            <v>24388913</v>
          </cell>
          <cell r="G40">
            <v>104862603</v>
          </cell>
        </row>
        <row r="41">
          <cell r="A41" t="str">
            <v>San Diego</v>
          </cell>
          <cell r="B41">
            <v>134883956</v>
          </cell>
          <cell r="C41">
            <v>33349661</v>
          </cell>
          <cell r="D41">
            <v>168233617</v>
          </cell>
          <cell r="E41">
            <v>140022964</v>
          </cell>
          <cell r="F41">
            <v>36387830</v>
          </cell>
          <cell r="G41">
            <v>176410794</v>
          </cell>
        </row>
        <row r="42">
          <cell r="A42" t="str">
            <v>San Francisco</v>
          </cell>
          <cell r="B42">
            <v>57658817</v>
          </cell>
          <cell r="C42">
            <v>16229857</v>
          </cell>
          <cell r="D42">
            <v>73888674</v>
          </cell>
          <cell r="E42">
            <v>58665237</v>
          </cell>
          <cell r="F42">
            <v>19679042</v>
          </cell>
          <cell r="G42">
            <v>78344279</v>
          </cell>
        </row>
        <row r="43">
          <cell r="A43" t="str">
            <v>San Joaquin</v>
          </cell>
          <cell r="B43">
            <v>27597211</v>
          </cell>
          <cell r="C43">
            <v>5712381</v>
          </cell>
          <cell r="D43">
            <v>33309592</v>
          </cell>
          <cell r="E43">
            <v>28415757</v>
          </cell>
          <cell r="F43">
            <v>6936714</v>
          </cell>
          <cell r="G43">
            <v>35352471</v>
          </cell>
        </row>
        <row r="44">
          <cell r="A44" t="str">
            <v>San Luis Obispo</v>
          </cell>
          <cell r="B44">
            <v>12998333</v>
          </cell>
          <cell r="C44">
            <v>3572952</v>
          </cell>
          <cell r="D44">
            <v>16571285</v>
          </cell>
          <cell r="E44">
            <v>13451849</v>
          </cell>
          <cell r="F44">
            <v>4016500</v>
          </cell>
          <cell r="G44">
            <v>17468349</v>
          </cell>
        </row>
        <row r="45">
          <cell r="A45" t="str">
            <v>San Mateo</v>
          </cell>
          <cell r="B45">
            <v>33210585</v>
          </cell>
          <cell r="C45">
            <v>6706766</v>
          </cell>
          <cell r="D45">
            <v>39917351</v>
          </cell>
          <cell r="E45">
            <v>33210585</v>
          </cell>
          <cell r="F45">
            <v>7929682</v>
          </cell>
          <cell r="G45">
            <v>41140267</v>
          </cell>
        </row>
        <row r="46">
          <cell r="A46" t="str">
            <v>Santa Barbara</v>
          </cell>
          <cell r="B46">
            <v>21623136</v>
          </cell>
          <cell r="C46">
            <v>4005705</v>
          </cell>
          <cell r="D46">
            <v>25628841</v>
          </cell>
          <cell r="E46">
            <v>23113505</v>
          </cell>
          <cell r="F46">
            <v>4890899</v>
          </cell>
          <cell r="G46">
            <v>28004403</v>
          </cell>
        </row>
        <row r="47">
          <cell r="A47" t="str">
            <v>Santa Clara</v>
          </cell>
          <cell r="B47">
            <v>83969532</v>
          </cell>
          <cell r="C47">
            <v>14184751</v>
          </cell>
          <cell r="D47">
            <v>98154283</v>
          </cell>
          <cell r="E47">
            <v>86386340</v>
          </cell>
          <cell r="F47">
            <v>16474661</v>
          </cell>
          <cell r="G47">
            <v>102861001</v>
          </cell>
        </row>
        <row r="48">
          <cell r="A48" t="str">
            <v>Santa Cruz</v>
          </cell>
          <cell r="B48">
            <v>9838003</v>
          </cell>
          <cell r="C48">
            <v>1903976</v>
          </cell>
          <cell r="D48">
            <v>11741979</v>
          </cell>
          <cell r="E48">
            <v>10205373</v>
          </cell>
          <cell r="F48">
            <v>2097507</v>
          </cell>
          <cell r="G48">
            <v>12302879</v>
          </cell>
        </row>
        <row r="49">
          <cell r="A49" t="str">
            <v>Shasta</v>
          </cell>
          <cell r="B49">
            <v>10368051</v>
          </cell>
          <cell r="C49">
            <v>2692420</v>
          </cell>
          <cell r="D49">
            <v>13060471</v>
          </cell>
          <cell r="E49">
            <v>11970677</v>
          </cell>
          <cell r="F49">
            <v>3156292</v>
          </cell>
          <cell r="G49">
            <v>15126970</v>
          </cell>
        </row>
        <row r="50">
          <cell r="A50" t="str">
            <v>Sierra</v>
          </cell>
          <cell r="B50">
            <v>342181</v>
          </cell>
          <cell r="C50">
            <v>246199</v>
          </cell>
          <cell r="D50">
            <v>588380</v>
          </cell>
          <cell r="E50">
            <v>360351</v>
          </cell>
          <cell r="F50">
            <v>257983</v>
          </cell>
          <cell r="G50">
            <v>618334</v>
          </cell>
        </row>
        <row r="51">
          <cell r="A51" t="str">
            <v>Siskiyou</v>
          </cell>
          <cell r="B51">
            <v>3738475</v>
          </cell>
          <cell r="C51">
            <v>1139500</v>
          </cell>
          <cell r="D51">
            <v>4877975</v>
          </cell>
          <cell r="E51">
            <v>3922145</v>
          </cell>
          <cell r="F51">
            <v>1193615</v>
          </cell>
          <cell r="G51">
            <v>5115760</v>
          </cell>
        </row>
        <row r="52">
          <cell r="A52" t="str">
            <v>Solano</v>
          </cell>
          <cell r="B52">
            <v>19976931</v>
          </cell>
          <cell r="C52">
            <v>8325218</v>
          </cell>
          <cell r="D52">
            <v>28302149</v>
          </cell>
          <cell r="E52">
            <v>20321090</v>
          </cell>
          <cell r="F52">
            <v>8520454</v>
          </cell>
          <cell r="G52">
            <v>28841544</v>
          </cell>
        </row>
        <row r="53">
          <cell r="A53" t="str">
            <v>Sonoma</v>
          </cell>
          <cell r="B53">
            <v>20321968</v>
          </cell>
          <cell r="C53">
            <v>6210897</v>
          </cell>
          <cell r="D53">
            <v>26532865</v>
          </cell>
          <cell r="E53">
            <v>21281968</v>
          </cell>
          <cell r="F53">
            <v>6857375</v>
          </cell>
          <cell r="G53">
            <v>28139343</v>
          </cell>
        </row>
        <row r="54">
          <cell r="A54" t="str">
            <v>Stanislaus</v>
          </cell>
          <cell r="B54">
            <v>18166187</v>
          </cell>
          <cell r="C54">
            <v>2662694</v>
          </cell>
          <cell r="D54">
            <v>20828881</v>
          </cell>
          <cell r="E54">
            <v>18673888</v>
          </cell>
          <cell r="F54">
            <v>3792057</v>
          </cell>
          <cell r="G54">
            <v>22465945</v>
          </cell>
        </row>
        <row r="55">
          <cell r="A55" t="str">
            <v>Sutter</v>
          </cell>
          <cell r="B55">
            <v>4665879</v>
          </cell>
          <cell r="C55">
            <v>1172190</v>
          </cell>
          <cell r="D55">
            <v>5838069</v>
          </cell>
          <cell r="E55">
            <v>4780486</v>
          </cell>
          <cell r="F55">
            <v>1250513</v>
          </cell>
          <cell r="G55">
            <v>6030998</v>
          </cell>
        </row>
        <row r="56">
          <cell r="A56" t="str">
            <v>Tehama</v>
          </cell>
          <cell r="B56">
            <v>3242369</v>
          </cell>
          <cell r="C56">
            <v>950209</v>
          </cell>
          <cell r="D56">
            <v>4192578</v>
          </cell>
          <cell r="E56">
            <v>3242369</v>
          </cell>
          <cell r="F56">
            <v>1048996</v>
          </cell>
          <cell r="G56">
            <v>4291365</v>
          </cell>
        </row>
        <row r="57">
          <cell r="A57" t="str">
            <v>Trinity</v>
          </cell>
          <cell r="B57">
            <v>1125388</v>
          </cell>
          <cell r="C57">
            <v>357845</v>
          </cell>
          <cell r="D57">
            <v>1483233</v>
          </cell>
          <cell r="E57">
            <v>1145909</v>
          </cell>
          <cell r="F57">
            <v>373752</v>
          </cell>
          <cell r="G57">
            <v>1519660</v>
          </cell>
        </row>
        <row r="58">
          <cell r="A58" t="str">
            <v>Tulare</v>
          </cell>
          <cell r="B58">
            <v>16682001</v>
          </cell>
          <cell r="C58">
            <v>4782607</v>
          </cell>
          <cell r="D58">
            <v>21464608</v>
          </cell>
          <cell r="E58">
            <v>17409927</v>
          </cell>
          <cell r="F58">
            <v>6145702</v>
          </cell>
          <cell r="G58">
            <v>23555629</v>
          </cell>
        </row>
        <row r="59">
          <cell r="A59" t="str">
            <v>Tuolumne</v>
          </cell>
          <cell r="B59">
            <v>2785805</v>
          </cell>
          <cell r="C59">
            <v>793775</v>
          </cell>
          <cell r="D59">
            <v>3579581</v>
          </cell>
          <cell r="E59">
            <v>3050010</v>
          </cell>
          <cell r="F59">
            <v>933719</v>
          </cell>
          <cell r="G59">
            <v>3983729</v>
          </cell>
        </row>
        <row r="60">
          <cell r="A60" t="str">
            <v>Ventura</v>
          </cell>
          <cell r="B60">
            <v>29484950</v>
          </cell>
          <cell r="C60">
            <v>8653651</v>
          </cell>
          <cell r="D60">
            <v>38138601</v>
          </cell>
          <cell r="E60">
            <v>33067974</v>
          </cell>
          <cell r="F60">
            <v>10466196</v>
          </cell>
          <cell r="G60">
            <v>43534170</v>
          </cell>
        </row>
        <row r="61">
          <cell r="A61" t="str">
            <v>Yolo</v>
          </cell>
          <cell r="B61">
            <v>6978960</v>
          </cell>
          <cell r="C61">
            <v>2550555</v>
          </cell>
          <cell r="D61">
            <v>9529515</v>
          </cell>
          <cell r="E61">
            <v>7813930</v>
          </cell>
          <cell r="F61">
            <v>2962058</v>
          </cell>
          <cell r="G61">
            <v>10775988</v>
          </cell>
        </row>
        <row r="62">
          <cell r="A62" t="str">
            <v>Yuba</v>
          </cell>
          <cell r="B62">
            <v>3625993</v>
          </cell>
          <cell r="C62">
            <v>1088191</v>
          </cell>
          <cell r="D62">
            <v>4714184</v>
          </cell>
          <cell r="E62">
            <v>4017905</v>
          </cell>
          <cell r="F62">
            <v>1523641</v>
          </cell>
          <cell r="G62">
            <v>5541546</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y Revise"/>
      <sheetName val="10R_1st Pass"/>
      <sheetName val="Revenue and Funding"/>
      <sheetName val="New Revenues"/>
      <sheetName val="Filings Detail"/>
      <sheetName val="Revenue Detail"/>
      <sheetName val="Filings Summary"/>
      <sheetName val="Revenue Summary"/>
      <sheetName val="First Paper"/>
      <sheetName val="Unlimited"/>
      <sheetName val="Limited 10K"/>
      <sheetName val="Marriage Dissolution"/>
      <sheetName val="Limited 10K to 25K"/>
      <sheetName val="GC 70626 Fees"/>
      <sheetName val="Motion Fees"/>
      <sheetName val="Probate Fees"/>
      <sheetName val="Limited 5K"/>
      <sheetName val="Family Law"/>
      <sheetName val="SMIF"/>
      <sheetName val="Telephonic Appearance"/>
      <sheetName val="Access EAF Dist"/>
      <sheetName val="TC145 Template 20140101"/>
      <sheetName val="Access TC-145 Calc Data13-14"/>
      <sheetName val="Access TEALE Data13-14"/>
      <sheetName val="Access TC-145 Calc Data12-13"/>
      <sheetName val="Access TEALE Data12-13"/>
      <sheetName val="Access TC-145 Calc Data11-12"/>
      <sheetName val="Access TEALE Data11-12"/>
      <sheetName val="Access TC-145 Calc Data10-11"/>
      <sheetName val="Access TEALE Data10-11"/>
      <sheetName val="Access TC-145 Calc Data09-10"/>
      <sheetName val="Access TEALE Data09-10"/>
      <sheetName val="Access TC-145 Calc Data08-09"/>
      <sheetName val="Access TEALE Data08-09"/>
      <sheetName val="Access TC-145 Calc Data07-08"/>
      <sheetName val="Access TEALE Data07-08"/>
      <sheetName val="Access TC-145 Calc Data06-07"/>
      <sheetName val="Access TEALE Data06-07"/>
      <sheetName val="Access TC-145 Calc Data05-06"/>
      <sheetName val="Access TEALE Data05-06"/>
    </sheetNames>
    <sheetDataSet>
      <sheetData sheetId="0"/>
      <sheetData sheetId="1"/>
      <sheetData sheetId="2"/>
      <sheetData sheetId="3"/>
      <sheetData sheetId="4">
        <row r="11">
          <cell r="DI11">
            <v>59.419943181818184</v>
          </cell>
        </row>
      </sheetData>
      <sheetData sheetId="5">
        <row r="219">
          <cell r="BM219">
            <v>95540409.713944405</v>
          </cell>
        </row>
      </sheetData>
      <sheetData sheetId="6">
        <row r="52">
          <cell r="DM52">
            <v>119352.43466666667</v>
          </cell>
        </row>
      </sheetData>
      <sheetData sheetId="7">
        <row r="47">
          <cell r="BY47">
            <v>257811074.56695035</v>
          </cell>
        </row>
      </sheetData>
      <sheetData sheetId="8">
        <row r="4">
          <cell r="N4" t="str">
            <v>Paid Filings</v>
          </cell>
        </row>
      </sheetData>
      <sheetData sheetId="9"/>
      <sheetData sheetId="10"/>
      <sheetData sheetId="11"/>
      <sheetData sheetId="12"/>
      <sheetData sheetId="13"/>
      <sheetData sheetId="14"/>
      <sheetData sheetId="15"/>
      <sheetData sheetId="16"/>
      <sheetData sheetId="17"/>
      <sheetData sheetId="18"/>
      <sheetData sheetId="19">
        <row r="25">
          <cell r="M25">
            <v>308272</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sheetName val="Macro1"/>
    </sheetNames>
    <sheetDataSet>
      <sheetData sheetId="0"/>
      <sheetData sheetId="1">
        <row r="76">
          <cell r="A76" t="str">
            <v>Recover</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F_PCC list &amp; reduction"/>
      <sheetName val="Program Listing and Reducti (2)"/>
      <sheetName val="Program Listing and Reductions"/>
      <sheetName val="Mod Fund"/>
      <sheetName val="TCIF"/>
      <sheetName val="All Div - B1"/>
      <sheetName val="All Div - B2"/>
      <sheetName val="Combo Box"/>
    </sheetNames>
    <sheetDataSet>
      <sheetData sheetId="0"/>
      <sheetData sheetId="1"/>
      <sheetData sheetId="2"/>
      <sheetData sheetId="3"/>
      <sheetData sheetId="4"/>
      <sheetData sheetId="5"/>
      <sheetData sheetId="6"/>
      <sheetData sheetId="7">
        <row r="2">
          <cell r="A2" t="str">
            <v>Discontinue</v>
          </cell>
        </row>
        <row r="3">
          <cell r="A3" t="str">
            <v>Suspend</v>
          </cell>
        </row>
        <row r="4">
          <cell r="A4" t="str">
            <v>Partial</v>
          </cell>
        </row>
        <row r="5">
          <cell r="A5" t="str">
            <v>No Change</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CTF 2009-10 2nd Turn (3)"/>
      <sheetName val="TCTF 2009-10 2nd Turn (2)"/>
      <sheetName val="TCTF 2009-10 2nd Turn"/>
      <sheetName val="FY 2008-09 Overview"/>
      <sheetName val="TEALE 2008"/>
      <sheetName val="TEALE 2008 (2)"/>
      <sheetName val="Account Descriptions"/>
      <sheetName val="Summary (2)"/>
      <sheetName val="Summary"/>
      <sheetName val="Sheet9"/>
      <sheetName val="FY 2008-09_Months"/>
      <sheetName val="TEALE 2006"/>
      <sheetName val="TEALE 2005"/>
      <sheetName val="Account Pvt Table"/>
      <sheetName val="Pvt Tbl 2"/>
      <sheetName val="Pvt Tbl"/>
      <sheetName val="Jeff_qryTC145B11 (2)"/>
      <sheetName val="Jeff_qryTC145B11"/>
      <sheetName val="New_Code_Section_and_TC_145_Row"/>
      <sheetName val="TC-145 Row_ID_Description"/>
      <sheetName val="TC-145 Template"/>
    </sheetNames>
    <sheetDataSet>
      <sheetData sheetId="0">
        <row r="10">
          <cell r="C10">
            <v>498600</v>
          </cell>
        </row>
      </sheetData>
      <sheetData sheetId="1"/>
      <sheetData sheetId="2"/>
      <sheetData sheetId="3"/>
      <sheetData sheetId="4">
        <row r="19">
          <cell r="B19">
            <v>30438790.829999998</v>
          </cell>
        </row>
      </sheetData>
      <sheetData sheetId="5">
        <row r="4">
          <cell r="A4">
            <v>131700</v>
          </cell>
        </row>
      </sheetData>
      <sheetData sheetId="6">
        <row r="3">
          <cell r="B3">
            <v>131700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W1" t="str">
            <v>Superior Court - Los Angeles</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Report Template Example"/>
      <sheetName val="Report Template Instructions"/>
      <sheetName val="Report Template"/>
      <sheetName val="Report Template with comments"/>
      <sheetName val="Revision Crosswalk"/>
      <sheetName val="Schedule D Instructions"/>
      <sheetName val="Schedule D"/>
      <sheetName val="Schedule F Instructions"/>
      <sheetName val="Schedule F"/>
      <sheetName val="Certification"/>
      <sheetName val="Co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
          <cell r="F1" t="str">
            <v>Madera</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7"/>
  <sheetViews>
    <sheetView topLeftCell="A7" workbookViewId="0">
      <selection activeCell="B11" sqref="B11"/>
    </sheetView>
  </sheetViews>
  <sheetFormatPr defaultRowHeight="14.4" x14ac:dyDescent="0.3"/>
  <cols>
    <col min="1" max="1" width="20" bestFit="1" customWidth="1"/>
    <col min="2" max="2" width="199.21875" bestFit="1" customWidth="1"/>
  </cols>
  <sheetData>
    <row r="1" spans="1:2" s="3" customFormat="1" x14ac:dyDescent="0.3">
      <c r="A1" s="3" t="s">
        <v>118</v>
      </c>
      <c r="B1" s="3" t="s">
        <v>64</v>
      </c>
    </row>
    <row r="2" spans="1:2" s="3" customFormat="1" x14ac:dyDescent="0.3">
      <c r="A2" t="s">
        <v>74</v>
      </c>
      <c r="B2" s="41"/>
    </row>
    <row r="3" spans="1:2" s="3" customFormat="1" x14ac:dyDescent="0.3"/>
    <row r="4" spans="1:2" x14ac:dyDescent="0.3">
      <c r="A4" t="s">
        <v>119</v>
      </c>
      <c r="B4" s="4" t="s">
        <v>209</v>
      </c>
    </row>
    <row r="5" spans="1:2" ht="28.8" x14ac:dyDescent="0.3">
      <c r="B5" s="4" t="s">
        <v>121</v>
      </c>
    </row>
    <row r="6" spans="1:2" x14ac:dyDescent="0.3">
      <c r="B6" s="4"/>
    </row>
    <row r="7" spans="1:2" x14ac:dyDescent="0.3">
      <c r="A7" t="s">
        <v>124</v>
      </c>
      <c r="B7" s="4" t="s">
        <v>125</v>
      </c>
    </row>
    <row r="9" spans="1:2" x14ac:dyDescent="0.3">
      <c r="A9" t="s">
        <v>120</v>
      </c>
      <c r="B9" s="4" t="s">
        <v>123</v>
      </c>
    </row>
    <row r="10" spans="1:2" x14ac:dyDescent="0.3">
      <c r="B10" s="4"/>
    </row>
    <row r="11" spans="1:2" ht="28.8" x14ac:dyDescent="0.3">
      <c r="A11" t="s">
        <v>122</v>
      </c>
      <c r="B11" s="4" t="s">
        <v>126</v>
      </c>
    </row>
    <row r="13" spans="1:2" x14ac:dyDescent="0.3">
      <c r="A13" t="s">
        <v>127</v>
      </c>
      <c r="B13" t="s">
        <v>134</v>
      </c>
    </row>
    <row r="15" spans="1:2" x14ac:dyDescent="0.3">
      <c r="A15" t="s">
        <v>128</v>
      </c>
      <c r="B15" t="s">
        <v>134</v>
      </c>
    </row>
    <row r="17" spans="1:2" x14ac:dyDescent="0.3">
      <c r="A17" t="s">
        <v>129</v>
      </c>
      <c r="B17" t="s">
        <v>135</v>
      </c>
    </row>
    <row r="19" spans="1:2" x14ac:dyDescent="0.3">
      <c r="A19" t="s">
        <v>130</v>
      </c>
      <c r="B19" t="s">
        <v>136</v>
      </c>
    </row>
    <row r="21" spans="1:2" x14ac:dyDescent="0.3">
      <c r="A21" t="s">
        <v>131</v>
      </c>
      <c r="B21" s="40"/>
    </row>
    <row r="23" spans="1:2" x14ac:dyDescent="0.3">
      <c r="A23" t="s">
        <v>137</v>
      </c>
      <c r="B23" t="s">
        <v>138</v>
      </c>
    </row>
    <row r="25" spans="1:2" x14ac:dyDescent="0.3">
      <c r="A25" t="s">
        <v>132</v>
      </c>
      <c r="B25" t="s">
        <v>139</v>
      </c>
    </row>
    <row r="27" spans="1:2" x14ac:dyDescent="0.3">
      <c r="A27" t="s">
        <v>133</v>
      </c>
      <c r="B27" t="s">
        <v>140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CD586-5771-4BEC-B6FE-F634D30EE3BF}">
  <sheetPr>
    <tabColor rgb="FF92D050"/>
    <pageSetUpPr fitToPage="1"/>
  </sheetPr>
  <dimension ref="A1:C11"/>
  <sheetViews>
    <sheetView zoomScaleNormal="100" workbookViewId="0"/>
  </sheetViews>
  <sheetFormatPr defaultColWidth="9.21875" defaultRowHeight="14.4" x14ac:dyDescent="0.3"/>
  <cols>
    <col min="1" max="1" width="10.5546875" style="53" customWidth="1"/>
    <col min="2" max="2" width="14.5546875" style="53" customWidth="1"/>
    <col min="3" max="3" width="26.21875" style="53" customWidth="1"/>
    <col min="4" max="16384" width="9.21875" style="53"/>
  </cols>
  <sheetData>
    <row r="1" spans="1:3" ht="18" x14ac:dyDescent="0.3">
      <c r="A1" s="158" t="s">
        <v>197</v>
      </c>
    </row>
    <row r="2" spans="1:3" ht="20.100000000000001" customHeight="1" x14ac:dyDescent="0.3">
      <c r="A2" s="49" t="s">
        <v>246</v>
      </c>
    </row>
    <row r="3" spans="1:3" ht="20.100000000000001" customHeight="1" x14ac:dyDescent="0.3"/>
    <row r="4" spans="1:3" ht="28.8" x14ac:dyDescent="0.3">
      <c r="B4" s="226" t="s">
        <v>68</v>
      </c>
      <c r="C4" s="42" t="s">
        <v>196</v>
      </c>
    </row>
    <row r="5" spans="1:3" x14ac:dyDescent="0.3">
      <c r="B5" s="78" t="s">
        <v>65</v>
      </c>
      <c r="C5" s="78" t="s">
        <v>1</v>
      </c>
    </row>
    <row r="6" spans="1:3" ht="20.100000000000001" customHeight="1" x14ac:dyDescent="0.3">
      <c r="B6" s="65">
        <v>1</v>
      </c>
      <c r="C6" s="188">
        <f>_xlfn.XLOOKUP(B6,'[12]OE&amp;E by Cluster'!$B$6:$B$9,'[12]OE&amp;E by Cluster'!$C$6:$C$9)</f>
        <v>41526.749865606813</v>
      </c>
    </row>
    <row r="7" spans="1:3" ht="20.100000000000001" customHeight="1" x14ac:dyDescent="0.3">
      <c r="B7" s="65">
        <v>2</v>
      </c>
      <c r="C7" s="188">
        <f>_xlfn.XLOOKUP(B7,'[12]OE&amp;E by Cluster'!$B$6:$B$9,'[12]OE&amp;E by Cluster'!$C$6:$C$9)</f>
        <v>26996.898124408544</v>
      </c>
    </row>
    <row r="8" spans="1:3" ht="20.100000000000001" customHeight="1" x14ac:dyDescent="0.3">
      <c r="B8" s="65">
        <v>3</v>
      </c>
      <c r="C8" s="188">
        <f>_xlfn.XLOOKUP(B8,'[12]OE&amp;E by Cluster'!$B$6:$B$9,'[12]OE&amp;E by Cluster'!$C$6:$C$9)</f>
        <v>26996.898124408544</v>
      </c>
    </row>
    <row r="9" spans="1:3" ht="20.100000000000001" customHeight="1" x14ac:dyDescent="0.3">
      <c r="B9" s="65">
        <v>4</v>
      </c>
      <c r="C9" s="188">
        <f>_xlfn.XLOOKUP(B9,'[12]OE&amp;E by Cluster'!$B$6:$B$9,'[12]OE&amp;E by Cluster'!$C$6:$C$9)</f>
        <v>26996.898124408544</v>
      </c>
    </row>
    <row r="10" spans="1:3" ht="20.100000000000001" customHeight="1" x14ac:dyDescent="0.3">
      <c r="B10" s="56"/>
    </row>
    <row r="11" spans="1:3" ht="20.100000000000001" customHeight="1" x14ac:dyDescent="0.3">
      <c r="B11" s="61" t="s">
        <v>241</v>
      </c>
    </row>
  </sheetData>
  <printOptions horizontalCentered="1"/>
  <pageMargins left="0.45" right="0.45" top="0.5" bottom="0.75" header="0.3" footer="0.3"/>
  <pageSetup scale="91"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CAACE-D4C9-44DF-A9FE-87DD490D0245}">
  <sheetPr>
    <tabColor rgb="FFFF0000"/>
  </sheetPr>
  <dimension ref="A1:J64"/>
  <sheetViews>
    <sheetView workbookViewId="0"/>
  </sheetViews>
  <sheetFormatPr defaultRowHeight="14.4" x14ac:dyDescent="0.3"/>
  <cols>
    <col min="1" max="1" width="11" style="245" customWidth="1"/>
    <col min="2" max="2" width="14.77734375" bestFit="1" customWidth="1"/>
    <col min="3" max="4" width="15.5546875" bestFit="1" customWidth="1"/>
    <col min="5" max="5" width="20" bestFit="1" customWidth="1"/>
    <col min="7" max="7" width="15.5546875" customWidth="1"/>
    <col min="8" max="8" width="22.77734375" customWidth="1"/>
    <col min="9" max="9" width="11.21875" bestFit="1" customWidth="1"/>
    <col min="10" max="10" width="13.44140625" customWidth="1"/>
  </cols>
  <sheetData>
    <row r="1" spans="1:10" ht="23.1" customHeight="1" x14ac:dyDescent="0.3">
      <c r="A1" s="253" t="s">
        <v>242</v>
      </c>
    </row>
    <row r="2" spans="1:10" x14ac:dyDescent="0.3">
      <c r="A2" s="49" t="s">
        <v>248</v>
      </c>
    </row>
    <row r="4" spans="1:10" ht="28.8" x14ac:dyDescent="0.3">
      <c r="A4" s="241" t="s">
        <v>216</v>
      </c>
      <c r="B4" s="241" t="s">
        <v>212</v>
      </c>
      <c r="C4" s="196" t="s">
        <v>213</v>
      </c>
      <c r="D4" s="196" t="s">
        <v>214</v>
      </c>
      <c r="E4" s="196" t="s">
        <v>243</v>
      </c>
    </row>
    <row r="5" spans="1:10" x14ac:dyDescent="0.3">
      <c r="A5" s="244">
        <v>1</v>
      </c>
      <c r="B5" s="259" t="s">
        <v>53</v>
      </c>
      <c r="C5" s="262">
        <f>_xlfn.XLOOKUP(B5,[13]AB1058!$B$5:$B$62,[13]AB1058!$C$5:$C$62,,0)</f>
        <v>1577988.58</v>
      </c>
      <c r="D5" s="262">
        <f>_xlfn.XLOOKUP(B5,[13]AB1058!$B$5:$B$62,[13]AB1058!$D$5:$D$62,,0)</f>
        <v>595744.44000000006</v>
      </c>
      <c r="E5" s="246">
        <f>C5+D5</f>
        <v>2173733.02</v>
      </c>
      <c r="G5" s="251"/>
      <c r="I5" s="249"/>
      <c r="J5" s="252"/>
    </row>
    <row r="6" spans="1:10" x14ac:dyDescent="0.3">
      <c r="A6" s="244">
        <v>2</v>
      </c>
      <c r="B6" s="259" t="s">
        <v>4</v>
      </c>
      <c r="C6" s="262">
        <f>_xlfn.XLOOKUP(B6,[13]AB1058!$B$5:$B$62,[13]AB1058!$C$5:$C$62,,0)</f>
        <v>0</v>
      </c>
      <c r="D6" s="262">
        <f>_xlfn.XLOOKUP(B6,[13]AB1058!$B$5:$B$62,[13]AB1058!$D$5:$D$62,,0)</f>
        <v>0</v>
      </c>
      <c r="E6" s="246">
        <f t="shared" ref="E6:E62" si="0">C6+D6</f>
        <v>0</v>
      </c>
      <c r="G6" s="251"/>
      <c r="I6" s="249"/>
    </row>
    <row r="7" spans="1:10" x14ac:dyDescent="0.3">
      <c r="A7" s="244">
        <v>3</v>
      </c>
      <c r="B7" s="259" t="s">
        <v>5</v>
      </c>
      <c r="C7" s="262">
        <f>_xlfn.XLOOKUP(B7,[13]AB1058!$B$5:$B$62,[13]AB1058!$C$5:$C$62,,0)</f>
        <v>84890.290000000008</v>
      </c>
      <c r="D7" s="262">
        <f>_xlfn.XLOOKUP(B7,[13]AB1058!$B$5:$B$62,[13]AB1058!$D$5:$D$62,,0)</f>
        <v>50196.220000000008</v>
      </c>
      <c r="E7" s="246">
        <f t="shared" si="0"/>
        <v>135086.51</v>
      </c>
      <c r="G7" s="251"/>
      <c r="I7" s="249"/>
      <c r="J7" s="252"/>
    </row>
    <row r="8" spans="1:10" x14ac:dyDescent="0.3">
      <c r="A8" s="244">
        <v>4</v>
      </c>
      <c r="B8" s="259" t="s">
        <v>19</v>
      </c>
      <c r="C8" s="262">
        <f>_xlfn.XLOOKUP(B8,[13]AB1058!$B$5:$B$62,[13]AB1058!$C$5:$C$62,,0)</f>
        <v>152999.99</v>
      </c>
      <c r="D8" s="262">
        <f>_xlfn.XLOOKUP(B8,[13]AB1058!$B$5:$B$62,[13]AB1058!$D$5:$D$62,,0)</f>
        <v>133432.99</v>
      </c>
      <c r="E8" s="246">
        <f t="shared" si="0"/>
        <v>286432.98</v>
      </c>
      <c r="G8" s="251"/>
      <c r="I8" s="249"/>
      <c r="J8" s="252"/>
    </row>
    <row r="9" spans="1:10" x14ac:dyDescent="0.3">
      <c r="A9" s="244">
        <v>5</v>
      </c>
      <c r="B9" s="259" t="s">
        <v>6</v>
      </c>
      <c r="C9" s="262">
        <f>_xlfn.XLOOKUP(B9,[13]AB1058!$B$5:$B$62,[13]AB1058!$C$5:$C$62,,0)</f>
        <v>76780.500000000015</v>
      </c>
      <c r="D9" s="262">
        <f>_xlfn.XLOOKUP(B9,[13]AB1058!$B$5:$B$62,[13]AB1058!$D$5:$D$62,,0)</f>
        <v>22728.239999999998</v>
      </c>
      <c r="E9" s="246">
        <f t="shared" si="0"/>
        <v>99508.74000000002</v>
      </c>
      <c r="G9" s="251"/>
      <c r="I9" s="249"/>
      <c r="J9" s="252"/>
    </row>
    <row r="10" spans="1:10" x14ac:dyDescent="0.3">
      <c r="A10" s="244">
        <v>6</v>
      </c>
      <c r="B10" s="259" t="s">
        <v>7</v>
      </c>
      <c r="C10" s="262">
        <f>_xlfn.XLOOKUP(B10,[13]AB1058!$B$5:$B$62,[13]AB1058!$C$5:$C$62,,0)</f>
        <v>36641.75</v>
      </c>
      <c r="D10" s="262">
        <f>_xlfn.XLOOKUP(B10,[13]AB1058!$B$5:$B$62,[13]AB1058!$D$5:$D$62,,0)</f>
        <v>42597.950000000004</v>
      </c>
      <c r="E10" s="246">
        <f t="shared" si="0"/>
        <v>79239.700000000012</v>
      </c>
      <c r="G10" s="251"/>
      <c r="I10" s="249"/>
      <c r="J10" s="252"/>
    </row>
    <row r="11" spans="1:10" x14ac:dyDescent="0.3">
      <c r="A11" s="244">
        <v>7</v>
      </c>
      <c r="B11" s="259" t="s">
        <v>41</v>
      </c>
      <c r="C11" s="262">
        <f>_xlfn.XLOOKUP(B11,[13]AB1058!$B$5:$B$62,[13]AB1058!$C$5:$C$62,,0)</f>
        <v>753849.9800000001</v>
      </c>
      <c r="D11" s="262">
        <f>_xlfn.XLOOKUP(B11,[13]AB1058!$B$5:$B$62,[13]AB1058!$D$5:$D$62,,0)</f>
        <v>270332.07999999996</v>
      </c>
      <c r="E11" s="246">
        <f t="shared" si="0"/>
        <v>1024182.06</v>
      </c>
      <c r="G11" s="251"/>
      <c r="I11" s="249"/>
      <c r="J11" s="252"/>
    </row>
    <row r="12" spans="1:10" x14ac:dyDescent="0.3">
      <c r="A12" s="244">
        <v>8</v>
      </c>
      <c r="B12" s="259" t="s">
        <v>8</v>
      </c>
      <c r="C12" s="262">
        <f>_xlfn.XLOOKUP(B12,[13]AB1058!$B$5:$B$62,[13]AB1058!$C$5:$C$62,,0)</f>
        <v>53531.469999999994</v>
      </c>
      <c r="D12" s="262">
        <f>_xlfn.XLOOKUP(B12,[13]AB1058!$B$5:$B$62,[13]AB1058!$D$5:$D$62,,0)</f>
        <v>54095.860000000008</v>
      </c>
      <c r="E12" s="246">
        <f t="shared" si="0"/>
        <v>107627.33</v>
      </c>
      <c r="G12" s="251"/>
      <c r="I12" s="249"/>
      <c r="J12" s="252"/>
    </row>
    <row r="13" spans="1:10" x14ac:dyDescent="0.3">
      <c r="A13" s="244">
        <v>9</v>
      </c>
      <c r="B13" s="259" t="s">
        <v>20</v>
      </c>
      <c r="C13" s="262">
        <f>_xlfn.XLOOKUP(B13,[13]AB1058!$B$5:$B$62,[13]AB1058!$C$5:$C$62,,0)</f>
        <v>111997.34000000001</v>
      </c>
      <c r="D13" s="262">
        <f>_xlfn.XLOOKUP(B13,[13]AB1058!$B$5:$B$62,[13]AB1058!$D$5:$D$62,,0)</f>
        <v>73741.679999999993</v>
      </c>
      <c r="E13" s="246">
        <f t="shared" si="0"/>
        <v>185739.02000000002</v>
      </c>
      <c r="G13" s="251"/>
      <c r="I13" s="249"/>
      <c r="J13" s="252"/>
    </row>
    <row r="14" spans="1:10" x14ac:dyDescent="0.3">
      <c r="A14" s="244">
        <v>10</v>
      </c>
      <c r="B14" s="259" t="s">
        <v>42</v>
      </c>
      <c r="C14" s="262">
        <f>_xlfn.XLOOKUP(B14,[13]AB1058!$B$5:$B$62,[13]AB1058!$C$5:$C$62,,0)</f>
        <v>2186083.25</v>
      </c>
      <c r="D14" s="262">
        <f>_xlfn.XLOOKUP(B14,[13]AB1058!$B$5:$B$62,[13]AB1058!$D$5:$D$62,,0)</f>
        <v>382876.79000000004</v>
      </c>
      <c r="E14" s="246">
        <f t="shared" si="0"/>
        <v>2568960.04</v>
      </c>
      <c r="G14" s="251"/>
      <c r="I14" s="252"/>
      <c r="J14" s="252"/>
    </row>
    <row r="15" spans="1:10" x14ac:dyDescent="0.3">
      <c r="A15" s="244">
        <v>11</v>
      </c>
      <c r="B15" s="259" t="s">
        <v>9</v>
      </c>
      <c r="C15" s="262">
        <f>_xlfn.XLOOKUP(B15,[13]AB1058!$B$5:$B$62,[13]AB1058!$C$5:$C$62,,0)</f>
        <v>119950.27</v>
      </c>
      <c r="D15" s="262">
        <f>_xlfn.XLOOKUP(B15,[13]AB1058!$B$5:$B$62,[13]AB1058!$D$5:$D$62,,0)</f>
        <v>29806.800000000003</v>
      </c>
      <c r="E15" s="246">
        <f t="shared" si="0"/>
        <v>149757.07</v>
      </c>
      <c r="G15" s="250"/>
      <c r="H15" s="249"/>
      <c r="I15" s="252"/>
      <c r="J15" s="252"/>
    </row>
    <row r="16" spans="1:10" x14ac:dyDescent="0.3">
      <c r="A16" s="244">
        <v>12</v>
      </c>
      <c r="B16" s="259" t="s">
        <v>21</v>
      </c>
      <c r="C16" s="262">
        <f>_xlfn.XLOOKUP(B16,[13]AB1058!$B$5:$B$62,[13]AB1058!$C$5:$C$62,,0)</f>
        <v>111187.39999999998</v>
      </c>
      <c r="D16" s="262">
        <f>_xlfn.XLOOKUP(B16,[13]AB1058!$B$5:$B$62,[13]AB1058!$D$5:$D$62,,0)</f>
        <v>91194.189999999988</v>
      </c>
      <c r="E16" s="246">
        <f t="shared" si="0"/>
        <v>202381.58999999997</v>
      </c>
      <c r="G16" s="250"/>
      <c r="H16" s="249"/>
      <c r="I16" s="252"/>
      <c r="J16" s="252"/>
    </row>
    <row r="17" spans="1:10" x14ac:dyDescent="0.3">
      <c r="A17" s="244">
        <v>13</v>
      </c>
      <c r="B17" s="259" t="s">
        <v>22</v>
      </c>
      <c r="C17" s="262">
        <f>_xlfn.XLOOKUP(B17,[13]AB1058!$B$5:$B$62,[13]AB1058!$C$5:$C$62,,0)</f>
        <v>315176.24</v>
      </c>
      <c r="D17" s="262">
        <f>_xlfn.XLOOKUP(B17,[13]AB1058!$B$5:$B$62,[13]AB1058!$D$5:$D$62,,0)</f>
        <v>12945.53</v>
      </c>
      <c r="E17" s="246">
        <f t="shared" si="0"/>
        <v>328121.77</v>
      </c>
      <c r="G17" s="250"/>
      <c r="H17" s="249"/>
      <c r="I17" s="252"/>
      <c r="J17" s="252"/>
    </row>
    <row r="18" spans="1:10" x14ac:dyDescent="0.3">
      <c r="A18" s="244">
        <v>14</v>
      </c>
      <c r="B18" s="259" t="s">
        <v>10</v>
      </c>
      <c r="C18" s="262">
        <f>_xlfn.XLOOKUP(B18,[13]AB1058!$B$5:$B$62,[13]AB1058!$C$5:$C$62,,0)</f>
        <v>14969.11</v>
      </c>
      <c r="D18" s="262">
        <f>_xlfn.XLOOKUP(B18,[13]AB1058!$B$5:$B$62,[13]AB1058!$D$5:$D$62,,0)</f>
        <v>27507.809999999998</v>
      </c>
      <c r="E18" s="246">
        <f t="shared" si="0"/>
        <v>42476.92</v>
      </c>
      <c r="G18" s="250"/>
      <c r="H18" s="249"/>
      <c r="I18" s="252"/>
      <c r="J18" s="252"/>
    </row>
    <row r="19" spans="1:10" x14ac:dyDescent="0.3">
      <c r="A19" s="244">
        <v>15</v>
      </c>
      <c r="B19" s="259" t="s">
        <v>43</v>
      </c>
      <c r="C19" s="262">
        <f>_xlfn.XLOOKUP(B19,[13]AB1058!$B$5:$B$62,[13]AB1058!$C$5:$C$62,,0)</f>
        <v>1259794.24</v>
      </c>
      <c r="D19" s="262">
        <f>_xlfn.XLOOKUP(B19,[13]AB1058!$B$5:$B$62,[13]AB1058!$D$5:$D$62,,0)</f>
        <v>477205.00000000006</v>
      </c>
      <c r="E19" s="246">
        <f t="shared" si="0"/>
        <v>1736999.24</v>
      </c>
      <c r="G19" s="250"/>
      <c r="H19" s="249"/>
      <c r="I19" s="252"/>
      <c r="J19" s="252"/>
    </row>
    <row r="20" spans="1:10" x14ac:dyDescent="0.3">
      <c r="A20" s="244">
        <v>16</v>
      </c>
      <c r="B20" s="259" t="s">
        <v>23</v>
      </c>
      <c r="C20" s="262">
        <f>_xlfn.XLOOKUP(B20,[13]AB1058!$B$5:$B$62,[13]AB1058!$C$5:$C$62,,0)</f>
        <v>310808.00000000006</v>
      </c>
      <c r="D20" s="262">
        <f>_xlfn.XLOOKUP(B20,[13]AB1058!$B$5:$B$62,[13]AB1058!$D$5:$D$62,,0)</f>
        <v>66699.499999999985</v>
      </c>
      <c r="E20" s="246">
        <f t="shared" si="0"/>
        <v>377507.50000000006</v>
      </c>
      <c r="G20" s="250"/>
      <c r="H20" s="249"/>
      <c r="I20" s="252"/>
      <c r="J20" s="252"/>
    </row>
    <row r="21" spans="1:10" x14ac:dyDescent="0.3">
      <c r="A21" s="244">
        <v>17</v>
      </c>
      <c r="B21" s="259" t="s">
        <v>24</v>
      </c>
      <c r="C21" s="262">
        <f>_xlfn.XLOOKUP(B21,[13]AB1058!$B$5:$B$62,[13]AB1058!$C$5:$C$62,,0)</f>
        <v>100643.39</v>
      </c>
      <c r="D21" s="262">
        <f>_xlfn.XLOOKUP(B21,[13]AB1058!$B$5:$B$62,[13]AB1058!$D$5:$D$62,,0)</f>
        <v>73200</v>
      </c>
      <c r="E21" s="246">
        <f t="shared" si="0"/>
        <v>173843.39</v>
      </c>
      <c r="G21" s="250"/>
      <c r="H21" s="249"/>
      <c r="I21" s="252"/>
      <c r="J21" s="252"/>
    </row>
    <row r="22" spans="1:10" x14ac:dyDescent="0.3">
      <c r="A22" s="244">
        <v>18</v>
      </c>
      <c r="B22" s="259" t="s">
        <v>11</v>
      </c>
      <c r="C22" s="262">
        <f>_xlfn.XLOOKUP(B22,[13]AB1058!$B$5:$B$62,[13]AB1058!$C$5:$C$62,,0)</f>
        <v>29226.690000000002</v>
      </c>
      <c r="D22" s="262">
        <f>_xlfn.XLOOKUP(B22,[13]AB1058!$B$5:$B$62,[13]AB1058!$D$5:$D$62,,0)</f>
        <v>67672.000000000015</v>
      </c>
      <c r="E22" s="246">
        <f t="shared" si="0"/>
        <v>96898.690000000017</v>
      </c>
      <c r="G22" s="250"/>
      <c r="H22" s="249"/>
      <c r="I22" s="252"/>
      <c r="J22" s="252"/>
    </row>
    <row r="23" spans="1:10" x14ac:dyDescent="0.3">
      <c r="A23" s="244">
        <v>19</v>
      </c>
      <c r="B23" s="259" t="s">
        <v>54</v>
      </c>
      <c r="C23" s="262">
        <f>_xlfn.XLOOKUP(B23,[13]AB1058!$B$5:$B$62,[13]AB1058!$C$5:$C$62,,0)</f>
        <v>7862503.669999999</v>
      </c>
      <c r="D23" s="262">
        <f>_xlfn.XLOOKUP(B23,[13]AB1058!$B$5:$B$62,[13]AB1058!$D$5:$D$62,,0)</f>
        <v>2810153.34</v>
      </c>
      <c r="E23" s="246">
        <f t="shared" si="0"/>
        <v>10672657.009999998</v>
      </c>
      <c r="G23" s="250"/>
      <c r="H23" s="249"/>
      <c r="I23" s="252"/>
      <c r="J23" s="252"/>
    </row>
    <row r="24" spans="1:10" x14ac:dyDescent="0.3">
      <c r="A24" s="244">
        <v>20</v>
      </c>
      <c r="B24" s="259" t="s">
        <v>25</v>
      </c>
      <c r="C24" s="262">
        <f>_xlfn.XLOOKUP(B24,[13]AB1058!$B$5:$B$62,[13]AB1058!$C$5:$C$62,,0)</f>
        <v>280116.57999999996</v>
      </c>
      <c r="D24" s="262">
        <f>_xlfn.XLOOKUP(B24,[13]AB1058!$B$5:$B$62,[13]AB1058!$D$5:$D$62,,0)</f>
        <v>94371.940000000017</v>
      </c>
      <c r="E24" s="246">
        <f t="shared" si="0"/>
        <v>374488.51999999996</v>
      </c>
      <c r="G24" s="250"/>
      <c r="H24" s="249"/>
      <c r="I24" s="252"/>
      <c r="J24" s="252"/>
    </row>
    <row r="25" spans="1:10" x14ac:dyDescent="0.3">
      <c r="A25" s="244">
        <v>21</v>
      </c>
      <c r="B25" s="259" t="s">
        <v>26</v>
      </c>
      <c r="C25" s="262">
        <f>_xlfn.XLOOKUP(B25,[13]AB1058!$B$5:$B$62,[13]AB1058!$C$5:$C$62,,0)</f>
        <v>141974</v>
      </c>
      <c r="D25" s="262">
        <f>_xlfn.XLOOKUP(B25,[13]AB1058!$B$5:$B$62,[13]AB1058!$D$5:$D$62,,0)</f>
        <v>124657</v>
      </c>
      <c r="E25" s="246">
        <f t="shared" si="0"/>
        <v>266631</v>
      </c>
      <c r="G25" s="250"/>
      <c r="H25" s="249"/>
      <c r="I25" s="252"/>
      <c r="J25" s="252"/>
    </row>
    <row r="26" spans="1:10" x14ac:dyDescent="0.3">
      <c r="A26" s="244">
        <v>22</v>
      </c>
      <c r="B26" s="259" t="s">
        <v>12</v>
      </c>
      <c r="C26" s="262">
        <f>_xlfn.XLOOKUP(B26,[13]AB1058!$B$5:$B$62,[13]AB1058!$C$5:$C$62,,0)</f>
        <v>20366.349999999999</v>
      </c>
      <c r="D26" s="262">
        <f>_xlfn.XLOOKUP(B26,[13]AB1058!$B$5:$B$62,[13]AB1058!$D$5:$D$62,,0)</f>
        <v>2479.83</v>
      </c>
      <c r="E26" s="246">
        <f t="shared" si="0"/>
        <v>22846.18</v>
      </c>
      <c r="G26" s="250"/>
      <c r="H26" s="249"/>
      <c r="I26" s="252"/>
      <c r="J26" s="252"/>
    </row>
    <row r="27" spans="1:10" x14ac:dyDescent="0.3">
      <c r="A27" s="244">
        <v>23</v>
      </c>
      <c r="B27" s="259" t="s">
        <v>27</v>
      </c>
      <c r="C27" s="262">
        <f>_xlfn.XLOOKUP(B27,[13]AB1058!$B$5:$B$62,[13]AB1058!$C$5:$C$62,,0)</f>
        <v>149993.65</v>
      </c>
      <c r="D27" s="262">
        <f>_xlfn.XLOOKUP(B27,[13]AB1058!$B$5:$B$62,[13]AB1058!$D$5:$D$62,,0)</f>
        <v>76829.53</v>
      </c>
      <c r="E27" s="246">
        <f t="shared" si="0"/>
        <v>226823.18</v>
      </c>
      <c r="G27" s="250"/>
      <c r="H27" s="249"/>
      <c r="I27" s="252"/>
      <c r="J27" s="252"/>
    </row>
    <row r="28" spans="1:10" x14ac:dyDescent="0.3">
      <c r="A28" s="244">
        <v>24</v>
      </c>
      <c r="B28" s="259" t="s">
        <v>28</v>
      </c>
      <c r="C28" s="262">
        <f>_xlfn.XLOOKUP(B28,[13]AB1058!$B$5:$B$62,[13]AB1058!$C$5:$C$62,,0)</f>
        <v>662321.61999999988</v>
      </c>
      <c r="D28" s="262">
        <f>_xlfn.XLOOKUP(B28,[13]AB1058!$B$5:$B$62,[13]AB1058!$D$5:$D$62,,0)</f>
        <v>149823</v>
      </c>
      <c r="E28" s="246">
        <f t="shared" si="0"/>
        <v>812144.61999999988</v>
      </c>
      <c r="G28" s="250"/>
      <c r="H28" s="249"/>
      <c r="I28" s="252"/>
      <c r="J28" s="252"/>
    </row>
    <row r="29" spans="1:10" x14ac:dyDescent="0.3">
      <c r="A29" s="244">
        <v>25</v>
      </c>
      <c r="B29" s="259" t="s">
        <v>13</v>
      </c>
      <c r="C29" s="262">
        <f>_xlfn.XLOOKUP(B29,[13]AB1058!$B$5:$B$62,[13]AB1058!$C$5:$C$62,,0)</f>
        <v>0</v>
      </c>
      <c r="D29" s="262">
        <f>_xlfn.XLOOKUP(B29,[13]AB1058!$B$5:$B$62,[13]AB1058!$D$5:$D$62,,0)</f>
        <v>71817.999999999985</v>
      </c>
      <c r="E29" s="246">
        <f t="shared" si="0"/>
        <v>71817.999999999985</v>
      </c>
      <c r="G29" s="250"/>
      <c r="H29" s="249"/>
      <c r="J29" s="252"/>
    </row>
    <row r="30" spans="1:10" x14ac:dyDescent="0.3">
      <c r="A30" s="244">
        <v>26</v>
      </c>
      <c r="B30" s="259" t="s">
        <v>14</v>
      </c>
      <c r="C30" s="262">
        <f>_xlfn.XLOOKUP(B30,[13]AB1058!$B$5:$B$62,[13]AB1058!$C$5:$C$62,,0)</f>
        <v>7364.5599999999986</v>
      </c>
      <c r="D30" s="262">
        <f>_xlfn.XLOOKUP(B30,[13]AB1058!$B$5:$B$62,[13]AB1058!$D$5:$D$62,,0)</f>
        <v>48962.039999999994</v>
      </c>
      <c r="E30" s="246">
        <f t="shared" si="0"/>
        <v>56326.599999999991</v>
      </c>
      <c r="G30" s="250"/>
      <c r="H30" s="249"/>
      <c r="I30" s="252"/>
      <c r="J30" s="252"/>
    </row>
    <row r="31" spans="1:10" x14ac:dyDescent="0.3">
      <c r="A31" s="244">
        <v>27</v>
      </c>
      <c r="B31" s="259" t="s">
        <v>44</v>
      </c>
      <c r="C31" s="262">
        <f>_xlfn.XLOOKUP(B31,[13]AB1058!$B$5:$B$62,[13]AB1058!$C$5:$C$62,,0)</f>
        <v>450591.79000000004</v>
      </c>
      <c r="D31" s="262">
        <f>_xlfn.XLOOKUP(B31,[13]AB1058!$B$5:$B$62,[13]AB1058!$D$5:$D$62,,0)</f>
        <v>185314.54</v>
      </c>
      <c r="E31" s="246">
        <f t="shared" si="0"/>
        <v>635906.33000000007</v>
      </c>
      <c r="G31" s="250"/>
      <c r="H31" s="249"/>
      <c r="I31" s="252"/>
      <c r="J31" s="252"/>
    </row>
    <row r="32" spans="1:10" x14ac:dyDescent="0.3">
      <c r="A32" s="244">
        <v>28</v>
      </c>
      <c r="B32" s="259" t="s">
        <v>29</v>
      </c>
      <c r="C32" s="262">
        <f>_xlfn.XLOOKUP(B32,[13]AB1058!$B$5:$B$62,[13]AB1058!$C$5:$C$62,,0)</f>
        <v>87948.35</v>
      </c>
      <c r="D32" s="262">
        <f>_xlfn.XLOOKUP(B32,[13]AB1058!$B$5:$B$62,[13]AB1058!$D$5:$D$62,,0)</f>
        <v>97642.84</v>
      </c>
      <c r="E32" s="246">
        <f t="shared" si="0"/>
        <v>185591.19</v>
      </c>
      <c r="G32" s="250"/>
      <c r="H32" s="249"/>
      <c r="I32" s="252"/>
      <c r="J32" s="252"/>
    </row>
    <row r="33" spans="1:10" x14ac:dyDescent="0.3">
      <c r="A33" s="244">
        <v>29</v>
      </c>
      <c r="B33" s="259" t="s">
        <v>30</v>
      </c>
      <c r="C33" s="262">
        <f>_xlfn.XLOOKUP(B33,[13]AB1058!$B$5:$B$62,[13]AB1058!$C$5:$C$62,,0)</f>
        <v>248342.69000000003</v>
      </c>
      <c r="D33" s="262">
        <f>_xlfn.XLOOKUP(B33,[13]AB1058!$B$5:$B$62,[13]AB1058!$D$5:$D$62,,0)</f>
        <v>116579</v>
      </c>
      <c r="E33" s="246">
        <f t="shared" si="0"/>
        <v>364921.69000000006</v>
      </c>
      <c r="G33" s="250"/>
      <c r="H33" s="249"/>
      <c r="I33" s="252"/>
      <c r="J33" s="252"/>
    </row>
    <row r="34" spans="1:10" x14ac:dyDescent="0.3">
      <c r="A34" s="244">
        <v>30</v>
      </c>
      <c r="B34" s="259" t="s">
        <v>55</v>
      </c>
      <c r="C34" s="262">
        <f>_xlfn.XLOOKUP(B34,[13]AB1058!$B$5:$B$62,[13]AB1058!$C$5:$C$62,,0)</f>
        <v>2213223.0699999998</v>
      </c>
      <c r="D34" s="262">
        <f>_xlfn.XLOOKUP(B34,[13]AB1058!$B$5:$B$62,[13]AB1058!$D$5:$D$62,,0)</f>
        <v>832825.9800000001</v>
      </c>
      <c r="E34" s="246">
        <f t="shared" si="0"/>
        <v>3046049.05</v>
      </c>
      <c r="G34" s="250"/>
      <c r="H34" s="249"/>
      <c r="I34" s="252"/>
      <c r="J34" s="252"/>
    </row>
    <row r="35" spans="1:10" x14ac:dyDescent="0.3">
      <c r="A35" s="244">
        <v>31</v>
      </c>
      <c r="B35" s="259" t="s">
        <v>31</v>
      </c>
      <c r="C35" s="262">
        <f>_xlfn.XLOOKUP(B35,[13]AB1058!$B$5:$B$62,[13]AB1058!$C$5:$C$62,,0)</f>
        <v>296703.98</v>
      </c>
      <c r="D35" s="262">
        <f>_xlfn.XLOOKUP(B35,[13]AB1058!$B$5:$B$62,[13]AB1058!$D$5:$D$62,,0)</f>
        <v>60844.29</v>
      </c>
      <c r="E35" s="246">
        <f t="shared" si="0"/>
        <v>357548.26999999996</v>
      </c>
      <c r="G35" s="250"/>
      <c r="H35" s="249"/>
      <c r="I35" s="252"/>
      <c r="J35" s="252"/>
    </row>
    <row r="36" spans="1:10" x14ac:dyDescent="0.3">
      <c r="A36" s="244">
        <v>32</v>
      </c>
      <c r="B36" s="259" t="s">
        <v>15</v>
      </c>
      <c r="C36" s="262">
        <f>_xlfn.XLOOKUP(B36,[13]AB1058!$B$5:$B$62,[13]AB1058!$C$5:$C$62,,0)</f>
        <v>79539.289999999979</v>
      </c>
      <c r="D36" s="262">
        <f>_xlfn.XLOOKUP(B36,[13]AB1058!$B$5:$B$62,[13]AB1058!$D$5:$D$62,,0)</f>
        <v>49270</v>
      </c>
      <c r="E36" s="246">
        <f t="shared" si="0"/>
        <v>128809.28999999998</v>
      </c>
      <c r="G36" s="250"/>
      <c r="H36" s="249"/>
      <c r="I36" s="252"/>
      <c r="J36" s="252"/>
    </row>
    <row r="37" spans="1:10" x14ac:dyDescent="0.3">
      <c r="A37" s="244">
        <v>33</v>
      </c>
      <c r="B37" s="259" t="s">
        <v>56</v>
      </c>
      <c r="C37" s="262">
        <f>_xlfn.XLOOKUP(B37,[13]AB1058!$B$5:$B$62,[13]AB1058!$C$5:$C$62,,0)</f>
        <v>1941920.1900000002</v>
      </c>
      <c r="D37" s="262">
        <f>_xlfn.XLOOKUP(B37,[13]AB1058!$B$5:$B$62,[13]AB1058!$D$5:$D$62,,0)</f>
        <v>809939.99</v>
      </c>
      <c r="E37" s="246">
        <f t="shared" si="0"/>
        <v>2751860.18</v>
      </c>
      <c r="G37" s="250"/>
      <c r="H37" s="249"/>
      <c r="I37" s="252"/>
      <c r="J37" s="252"/>
    </row>
    <row r="38" spans="1:10" x14ac:dyDescent="0.3">
      <c r="A38" s="244">
        <v>34</v>
      </c>
      <c r="B38" s="259" t="s">
        <v>57</v>
      </c>
      <c r="C38" s="262">
        <f>_xlfn.XLOOKUP(B38,[13]AB1058!$B$5:$B$62,[13]AB1058!$C$5:$C$62,,0)</f>
        <v>1984445.4299999997</v>
      </c>
      <c r="D38" s="262">
        <f>_xlfn.XLOOKUP(B38,[13]AB1058!$B$5:$B$62,[13]AB1058!$D$5:$D$62,,0)</f>
        <v>545249</v>
      </c>
      <c r="E38" s="246">
        <f t="shared" si="0"/>
        <v>2529694.4299999997</v>
      </c>
      <c r="G38" s="250"/>
      <c r="H38" s="249"/>
      <c r="I38" s="252"/>
      <c r="J38" s="252"/>
    </row>
    <row r="39" spans="1:10" x14ac:dyDescent="0.3">
      <c r="A39" s="244">
        <v>35</v>
      </c>
      <c r="B39" s="259" t="s">
        <v>16</v>
      </c>
      <c r="C39" s="262">
        <f>_xlfn.XLOOKUP(B39,[13]AB1058!$B$5:$B$62,[13]AB1058!$C$5:$C$62,,0)</f>
        <v>104651.52000000002</v>
      </c>
      <c r="D39" s="262">
        <f>_xlfn.XLOOKUP(B39,[13]AB1058!$B$5:$B$62,[13]AB1058!$D$5:$D$62,,0)</f>
        <v>78943.73000000001</v>
      </c>
      <c r="E39" s="246">
        <f t="shared" si="0"/>
        <v>183595.25000000003</v>
      </c>
      <c r="G39" s="250"/>
      <c r="H39" s="249"/>
      <c r="I39" s="252"/>
      <c r="J39" s="252"/>
    </row>
    <row r="40" spans="1:10" x14ac:dyDescent="0.3">
      <c r="A40" s="244">
        <v>36</v>
      </c>
      <c r="B40" s="259" t="s">
        <v>58</v>
      </c>
      <c r="C40" s="262">
        <f>_xlfn.XLOOKUP(B40,[13]AB1058!$B$5:$B$62,[13]AB1058!$C$5:$C$62,,0)</f>
        <v>3617298.3899999997</v>
      </c>
      <c r="D40" s="262">
        <f>_xlfn.XLOOKUP(B40,[13]AB1058!$B$5:$B$62,[13]AB1058!$D$5:$D$62,,0)</f>
        <v>764605.00000000012</v>
      </c>
      <c r="E40" s="246">
        <f t="shared" si="0"/>
        <v>4381903.3899999997</v>
      </c>
      <c r="G40" s="250"/>
      <c r="H40" s="249"/>
      <c r="I40" s="252"/>
      <c r="J40" s="252"/>
    </row>
    <row r="41" spans="1:10" x14ac:dyDescent="0.3">
      <c r="A41" s="244">
        <v>37</v>
      </c>
      <c r="B41" s="259" t="s">
        <v>59</v>
      </c>
      <c r="C41" s="262">
        <f>_xlfn.XLOOKUP(B41,[13]AB1058!$B$5:$B$62,[13]AB1058!$C$5:$C$62,,0)</f>
        <v>3118892.19</v>
      </c>
      <c r="D41" s="262">
        <f>_xlfn.XLOOKUP(B41,[13]AB1058!$B$5:$B$62,[13]AB1058!$D$5:$D$62,,0)</f>
        <v>988157.00000000012</v>
      </c>
      <c r="E41" s="246">
        <f t="shared" si="0"/>
        <v>4107049.19</v>
      </c>
      <c r="G41" s="250"/>
      <c r="H41" s="249"/>
      <c r="I41" s="252"/>
      <c r="J41" s="252"/>
    </row>
    <row r="42" spans="1:10" x14ac:dyDescent="0.3">
      <c r="A42" s="244">
        <v>38</v>
      </c>
      <c r="B42" s="259" t="s">
        <v>60</v>
      </c>
      <c r="C42" s="262">
        <f>_xlfn.XLOOKUP(B42,[13]AB1058!$B$5:$B$62,[13]AB1058!$C$5:$C$62,,0)</f>
        <v>820259.87</v>
      </c>
      <c r="D42" s="262">
        <f>_xlfn.XLOOKUP(B42,[13]AB1058!$B$5:$B$62,[13]AB1058!$D$5:$D$62,,0)</f>
        <v>251059</v>
      </c>
      <c r="E42" s="246">
        <f t="shared" si="0"/>
        <v>1071318.8700000001</v>
      </c>
      <c r="G42" s="250"/>
      <c r="H42" s="249"/>
      <c r="I42" s="252"/>
      <c r="J42" s="252"/>
    </row>
    <row r="43" spans="1:10" x14ac:dyDescent="0.3">
      <c r="A43" s="244">
        <v>39</v>
      </c>
      <c r="B43" s="259" t="s">
        <v>45</v>
      </c>
      <c r="C43" s="262">
        <f>_xlfn.XLOOKUP(B43,[13]AB1058!$B$5:$B$62,[13]AB1058!$C$5:$C$62,,0)</f>
        <v>803994.1599999998</v>
      </c>
      <c r="D43" s="262">
        <f>_xlfn.XLOOKUP(B43,[13]AB1058!$B$5:$B$62,[13]AB1058!$D$5:$D$62,,0)</f>
        <v>277454.83000000007</v>
      </c>
      <c r="E43" s="246">
        <f t="shared" si="0"/>
        <v>1081448.9899999998</v>
      </c>
      <c r="G43" s="250"/>
      <c r="H43" s="249"/>
      <c r="I43" s="252"/>
      <c r="J43" s="252"/>
    </row>
    <row r="44" spans="1:10" x14ac:dyDescent="0.3">
      <c r="A44" s="244">
        <v>40</v>
      </c>
      <c r="B44" s="259" t="s">
        <v>32</v>
      </c>
      <c r="C44" s="262">
        <f>_xlfn.XLOOKUP(B44,[13]AB1058!$B$5:$B$62,[13]AB1058!$C$5:$C$62,,0)</f>
        <v>86016.959999999992</v>
      </c>
      <c r="D44" s="262">
        <f>_xlfn.XLOOKUP(B44,[13]AB1058!$B$5:$B$62,[13]AB1058!$D$5:$D$62,,0)</f>
        <v>102744.71999999999</v>
      </c>
      <c r="E44" s="246">
        <f t="shared" si="0"/>
        <v>188761.68</v>
      </c>
      <c r="G44" s="250"/>
      <c r="H44" s="249"/>
      <c r="I44" s="252"/>
      <c r="J44" s="252"/>
    </row>
    <row r="45" spans="1:10" x14ac:dyDescent="0.3">
      <c r="A45" s="244">
        <v>41</v>
      </c>
      <c r="B45" s="259" t="s">
        <v>46</v>
      </c>
      <c r="C45" s="262">
        <f>_xlfn.XLOOKUP(B45,[13]AB1058!$B$5:$B$62,[13]AB1058!$C$5:$C$62,,0)</f>
        <v>423777.16</v>
      </c>
      <c r="D45" s="262">
        <f>_xlfn.XLOOKUP(B45,[13]AB1058!$B$5:$B$62,[13]AB1058!$D$5:$D$62,,0)</f>
        <v>252662.65</v>
      </c>
      <c r="E45" s="246">
        <f t="shared" si="0"/>
        <v>676439.80999999994</v>
      </c>
      <c r="G45" s="250"/>
      <c r="H45" s="249"/>
      <c r="I45" s="252"/>
      <c r="J45" s="252"/>
    </row>
    <row r="46" spans="1:10" x14ac:dyDescent="0.3">
      <c r="A46" s="244">
        <v>42</v>
      </c>
      <c r="B46" s="259" t="s">
        <v>47</v>
      </c>
      <c r="C46" s="262">
        <f>_xlfn.XLOOKUP(B46,[13]AB1058!$B$5:$B$62,[13]AB1058!$C$5:$C$62,,0)</f>
        <v>590431.94999999984</v>
      </c>
      <c r="D46" s="262">
        <f>_xlfn.XLOOKUP(B46,[13]AB1058!$B$5:$B$62,[13]AB1058!$D$5:$D$62,,0)</f>
        <v>165217.94</v>
      </c>
      <c r="E46" s="246">
        <f t="shared" si="0"/>
        <v>755649.8899999999</v>
      </c>
      <c r="G46" s="250"/>
      <c r="H46" s="249"/>
      <c r="I46" s="252"/>
      <c r="J46" s="252"/>
    </row>
    <row r="47" spans="1:10" x14ac:dyDescent="0.3">
      <c r="A47" s="244">
        <v>43</v>
      </c>
      <c r="B47" s="259" t="s">
        <v>61</v>
      </c>
      <c r="C47" s="262">
        <f>_xlfn.XLOOKUP(B47,[13]AB1058!$B$5:$B$62,[13]AB1058!$C$5:$C$62,,0)</f>
        <v>1490655.76</v>
      </c>
      <c r="D47" s="262">
        <f>_xlfn.XLOOKUP(B47,[13]AB1058!$B$5:$B$62,[13]AB1058!$D$5:$D$62,,0)</f>
        <v>624747.66</v>
      </c>
      <c r="E47" s="246">
        <f t="shared" si="0"/>
        <v>2115403.42</v>
      </c>
      <c r="G47" s="250"/>
      <c r="H47" s="249"/>
      <c r="I47" s="252"/>
      <c r="J47" s="252"/>
    </row>
    <row r="48" spans="1:10" x14ac:dyDescent="0.3">
      <c r="A48" s="244">
        <v>44</v>
      </c>
      <c r="B48" s="259" t="s">
        <v>33</v>
      </c>
      <c r="C48" s="262">
        <f>_xlfn.XLOOKUP(B48,[13]AB1058!$B$5:$B$62,[13]AB1058!$C$5:$C$62,,0)</f>
        <v>224846.03</v>
      </c>
      <c r="D48" s="262">
        <f>_xlfn.XLOOKUP(B48,[13]AB1058!$B$5:$B$62,[13]AB1058!$D$5:$D$62,,0)</f>
        <v>126166.51</v>
      </c>
      <c r="E48" s="246">
        <f t="shared" si="0"/>
        <v>351012.54</v>
      </c>
      <c r="G48" s="250"/>
      <c r="H48" s="249"/>
      <c r="I48" s="252"/>
      <c r="J48" s="252"/>
    </row>
    <row r="49" spans="1:10" x14ac:dyDescent="0.3">
      <c r="A49" s="244">
        <v>45</v>
      </c>
      <c r="B49" s="259" t="s">
        <v>34</v>
      </c>
      <c r="C49" s="262">
        <f>_xlfn.XLOOKUP(B49,[13]AB1058!$B$5:$B$62,[13]AB1058!$C$5:$C$62,,0)</f>
        <v>382252.72000000003</v>
      </c>
      <c r="D49" s="262">
        <f>_xlfn.XLOOKUP(B49,[13]AB1058!$B$5:$B$62,[13]AB1058!$D$5:$D$62,,0)</f>
        <v>195723.78</v>
      </c>
      <c r="E49" s="246">
        <f t="shared" si="0"/>
        <v>577976.5</v>
      </c>
      <c r="G49" s="250"/>
      <c r="H49" s="249"/>
      <c r="I49" s="252"/>
      <c r="J49" s="252"/>
    </row>
    <row r="50" spans="1:10" x14ac:dyDescent="0.3">
      <c r="A50" s="244">
        <v>46</v>
      </c>
      <c r="B50" s="259" t="s">
        <v>17</v>
      </c>
      <c r="C50" s="262">
        <f>_xlfn.XLOOKUP(B50,[13]AB1058!$B$5:$B$62,[13]AB1058!$C$5:$C$62,,0)</f>
        <v>0</v>
      </c>
      <c r="D50" s="262">
        <f>_xlfn.XLOOKUP(B50,[13]AB1058!$B$5:$B$62,[13]AB1058!$D$5:$D$62,,0)</f>
        <v>0</v>
      </c>
      <c r="E50" s="246">
        <f t="shared" si="0"/>
        <v>0</v>
      </c>
      <c r="G50" s="249"/>
      <c r="H50" s="249"/>
    </row>
    <row r="51" spans="1:10" x14ac:dyDescent="0.3">
      <c r="A51" s="244">
        <v>47</v>
      </c>
      <c r="B51" s="259" t="s">
        <v>35</v>
      </c>
      <c r="C51" s="262">
        <f>_xlfn.XLOOKUP(B51,[13]AB1058!$B$5:$B$62,[13]AB1058!$C$5:$C$62,,0)</f>
        <v>64742.79</v>
      </c>
      <c r="D51" s="262">
        <f>_xlfn.XLOOKUP(B51,[13]AB1058!$B$5:$B$62,[13]AB1058!$D$5:$D$62,,0)</f>
        <v>94830.96</v>
      </c>
      <c r="E51" s="246">
        <f t="shared" si="0"/>
        <v>159573.75</v>
      </c>
      <c r="G51" s="249"/>
      <c r="H51" s="249"/>
      <c r="I51" s="252"/>
      <c r="J51" s="252"/>
    </row>
    <row r="52" spans="1:10" x14ac:dyDescent="0.3">
      <c r="A52" s="244">
        <v>48</v>
      </c>
      <c r="B52" s="259" t="s">
        <v>48</v>
      </c>
      <c r="C52" s="262">
        <f>_xlfn.XLOOKUP(B52,[13]AB1058!$B$5:$B$62,[13]AB1058!$C$5:$C$62,,0)</f>
        <v>599579</v>
      </c>
      <c r="D52" s="262">
        <f>_xlfn.XLOOKUP(B52,[13]AB1058!$B$5:$B$62,[13]AB1058!$D$5:$D$62,,0)</f>
        <v>168045.59</v>
      </c>
      <c r="E52" s="246">
        <f t="shared" si="0"/>
        <v>767624.59</v>
      </c>
      <c r="G52" s="249"/>
      <c r="H52" s="249"/>
      <c r="I52" s="252"/>
      <c r="J52" s="252"/>
    </row>
    <row r="53" spans="1:10" x14ac:dyDescent="0.3">
      <c r="A53" s="244">
        <v>49</v>
      </c>
      <c r="B53" s="259" t="s">
        <v>49</v>
      </c>
      <c r="C53" s="262">
        <f>_xlfn.XLOOKUP(B53,[13]AB1058!$B$5:$B$62,[13]AB1058!$C$5:$C$62,,0)</f>
        <v>182900.81000000003</v>
      </c>
      <c r="D53" s="262">
        <f>_xlfn.XLOOKUP(B53,[13]AB1058!$B$5:$B$62,[13]AB1058!$D$5:$D$62,,0)</f>
        <v>136858.66999999998</v>
      </c>
      <c r="E53" s="246">
        <f t="shared" si="0"/>
        <v>319759.48</v>
      </c>
      <c r="G53" s="249"/>
      <c r="H53" s="249"/>
      <c r="I53" s="252"/>
      <c r="J53" s="252"/>
    </row>
    <row r="54" spans="1:10" x14ac:dyDescent="0.3">
      <c r="A54" s="244">
        <v>50</v>
      </c>
      <c r="B54" s="259" t="s">
        <v>50</v>
      </c>
      <c r="C54" s="262">
        <f>_xlfn.XLOOKUP(B54,[13]AB1058!$B$5:$B$62,[13]AB1058!$C$5:$C$62,,0)</f>
        <v>827964.06</v>
      </c>
      <c r="D54" s="262">
        <f>_xlfn.XLOOKUP(B54,[13]AB1058!$B$5:$B$62,[13]AB1058!$D$5:$D$62,,0)</f>
        <v>290360</v>
      </c>
      <c r="E54" s="246">
        <f t="shared" si="0"/>
        <v>1118324.06</v>
      </c>
      <c r="G54" s="249"/>
      <c r="H54" s="249"/>
      <c r="I54" s="252"/>
      <c r="J54" s="252"/>
    </row>
    <row r="55" spans="1:10" x14ac:dyDescent="0.3">
      <c r="A55" s="244">
        <v>51</v>
      </c>
      <c r="B55" s="259" t="s">
        <v>36</v>
      </c>
      <c r="C55" s="262">
        <f>_xlfn.XLOOKUP(B55,[13]AB1058!$B$5:$B$62,[13]AB1058!$C$5:$C$62,,0)</f>
        <v>193291.99000000002</v>
      </c>
      <c r="D55" s="262">
        <f>_xlfn.XLOOKUP(B55,[13]AB1058!$B$5:$B$62,[13]AB1058!$D$5:$D$62,,0)</f>
        <v>81132.999999999985</v>
      </c>
      <c r="E55" s="246">
        <f t="shared" si="0"/>
        <v>274424.99</v>
      </c>
      <c r="G55" s="249"/>
      <c r="H55" s="249"/>
      <c r="I55" s="252"/>
      <c r="J55" s="252"/>
    </row>
    <row r="56" spans="1:10" x14ac:dyDescent="0.3">
      <c r="A56" s="244">
        <v>52</v>
      </c>
      <c r="B56" s="259" t="s">
        <v>37</v>
      </c>
      <c r="C56" s="262">
        <f>_xlfn.XLOOKUP(B56,[13]AB1058!$B$5:$B$62,[13]AB1058!$C$5:$C$62,,0)</f>
        <v>140873.76999999999</v>
      </c>
      <c r="D56" s="262">
        <f>_xlfn.XLOOKUP(B56,[13]AB1058!$B$5:$B$62,[13]AB1058!$D$5:$D$62,,0)</f>
        <v>11441.31</v>
      </c>
      <c r="E56" s="246">
        <f t="shared" si="0"/>
        <v>152315.07999999999</v>
      </c>
      <c r="G56" s="249"/>
      <c r="H56" s="249"/>
      <c r="I56" s="252"/>
      <c r="J56" s="252"/>
    </row>
    <row r="57" spans="1:10" x14ac:dyDescent="0.3">
      <c r="A57" s="244">
        <v>53</v>
      </c>
      <c r="B57" s="259" t="s">
        <v>18</v>
      </c>
      <c r="C57" s="262">
        <f>_xlfn.XLOOKUP(B57,[13]AB1058!$B$5:$B$62,[13]AB1058!$C$5:$C$62,,0)</f>
        <v>0</v>
      </c>
      <c r="D57" s="262">
        <f>_xlfn.XLOOKUP(B57,[13]AB1058!$B$5:$B$62,[13]AB1058!$D$5:$D$62,,0)</f>
        <v>0</v>
      </c>
      <c r="E57" s="246">
        <f t="shared" si="0"/>
        <v>0</v>
      </c>
      <c r="G57" s="249"/>
      <c r="H57" s="249"/>
    </row>
    <row r="58" spans="1:10" x14ac:dyDescent="0.3">
      <c r="A58" s="244">
        <v>54</v>
      </c>
      <c r="B58" s="259" t="s">
        <v>51</v>
      </c>
      <c r="C58" s="262">
        <f>_xlfn.XLOOKUP(B58,[13]AB1058!$B$5:$B$62,[13]AB1058!$C$5:$C$62,,0)</f>
        <v>613222</v>
      </c>
      <c r="D58" s="262">
        <f>_xlfn.XLOOKUP(B58,[13]AB1058!$B$5:$B$62,[13]AB1058!$D$5:$D$62,,0)</f>
        <v>384814.68999999994</v>
      </c>
      <c r="E58" s="246">
        <f t="shared" si="0"/>
        <v>998036.69</v>
      </c>
      <c r="G58" s="249"/>
      <c r="H58" s="249"/>
      <c r="I58" s="252"/>
      <c r="J58" s="252"/>
    </row>
    <row r="59" spans="1:10" x14ac:dyDescent="0.3">
      <c r="A59" s="244">
        <v>55</v>
      </c>
      <c r="B59" s="259" t="s">
        <v>38</v>
      </c>
      <c r="C59" s="262">
        <f>_xlfn.XLOOKUP(B59,[13]AB1058!$B$5:$B$62,[13]AB1058!$C$5:$C$62,,0)</f>
        <v>202217.02999999997</v>
      </c>
      <c r="D59" s="262">
        <f>_xlfn.XLOOKUP(B59,[13]AB1058!$B$5:$B$62,[13]AB1058!$D$5:$D$62,,0)</f>
        <v>78387</v>
      </c>
      <c r="E59" s="246">
        <f t="shared" si="0"/>
        <v>280604.02999999997</v>
      </c>
      <c r="G59" s="249"/>
      <c r="H59" s="249"/>
      <c r="I59" s="252"/>
      <c r="J59" s="252"/>
    </row>
    <row r="60" spans="1:10" x14ac:dyDescent="0.3">
      <c r="A60" s="244">
        <v>56</v>
      </c>
      <c r="B60" s="259" t="s">
        <v>52</v>
      </c>
      <c r="C60" s="262">
        <f>_xlfn.XLOOKUP(B60,[13]AB1058!$B$5:$B$62,[13]AB1058!$C$5:$C$62,,0)</f>
        <v>239318</v>
      </c>
      <c r="D60" s="262">
        <f>_xlfn.XLOOKUP(B60,[13]AB1058!$B$5:$B$62,[13]AB1058!$D$5:$D$62,,0)</f>
        <v>311562</v>
      </c>
      <c r="E60" s="246">
        <f t="shared" si="0"/>
        <v>550880</v>
      </c>
      <c r="G60" s="249"/>
      <c r="H60" s="249"/>
      <c r="I60" s="252"/>
      <c r="J60" s="252"/>
    </row>
    <row r="61" spans="1:10" x14ac:dyDescent="0.3">
      <c r="A61" s="244">
        <v>57</v>
      </c>
      <c r="B61" s="259" t="s">
        <v>39</v>
      </c>
      <c r="C61" s="262">
        <f>_xlfn.XLOOKUP(B61,[13]AB1058!$B$5:$B$62,[13]AB1058!$C$5:$C$62,,0)</f>
        <v>156118.06999999998</v>
      </c>
      <c r="D61" s="262">
        <f>_xlfn.XLOOKUP(B61,[13]AB1058!$B$5:$B$62,[13]AB1058!$D$5:$D$62,,0)</f>
        <v>115352.00000000001</v>
      </c>
      <c r="E61" s="246">
        <f t="shared" si="0"/>
        <v>271470.07</v>
      </c>
      <c r="G61" s="249"/>
      <c r="H61" s="249"/>
      <c r="I61" s="252"/>
      <c r="J61" s="252"/>
    </row>
    <row r="62" spans="1:10" x14ac:dyDescent="0.3">
      <c r="A62" s="244">
        <v>58</v>
      </c>
      <c r="B62" s="259" t="s">
        <v>40</v>
      </c>
      <c r="C62" s="262">
        <f>_xlfn.XLOOKUP(B62,[13]AB1058!$B$5:$B$62,[13]AB1058!$C$5:$C$62,,0)</f>
        <v>173794.38000000003</v>
      </c>
      <c r="D62" s="262">
        <f>_xlfn.XLOOKUP(B62,[13]AB1058!$B$5:$B$62,[13]AB1058!$D$5:$D$62,,0)</f>
        <v>75226.06</v>
      </c>
      <c r="E62" s="246">
        <f t="shared" si="0"/>
        <v>249020.44000000003</v>
      </c>
      <c r="G62" s="249"/>
      <c r="H62" s="249"/>
      <c r="I62" s="252"/>
      <c r="J62" s="252"/>
    </row>
    <row r="63" spans="1:10" ht="15" thickBot="1" x14ac:dyDescent="0.35">
      <c r="B63" s="3" t="s">
        <v>215</v>
      </c>
      <c r="C63" s="247">
        <f>SUM(C5:C62)</f>
        <v>38780972.320000023</v>
      </c>
      <c r="D63" s="247">
        <f>SUM(D5:D62)</f>
        <v>14124231.500000004</v>
      </c>
      <c r="E63" s="247">
        <f>SUM(E5:E62)</f>
        <v>52905203.82</v>
      </c>
    </row>
    <row r="64" spans="1:10" ht="15" thickTop="1" x14ac:dyDescent="0.3"/>
  </sheetData>
  <pageMargins left="0.7" right="0.7" top="0.75" bottom="0.75" header="0.3" footer="0.3"/>
  <pageSetup orientation="portrait" horizontalDpi="1200" verticalDpi="1200" r:id="rId1"/>
  <ignoredErrors>
    <ignoredError sqref="E6"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7">
    <pageSetUpPr fitToPage="1"/>
  </sheetPr>
  <dimension ref="A1:V73"/>
  <sheetViews>
    <sheetView zoomScaleNormal="100" workbookViewId="0">
      <pane xSplit="2" ySplit="6" topLeftCell="C7" activePane="bottomRight" state="frozen"/>
      <selection pane="topRight" activeCell="C1" sqref="C1"/>
      <selection pane="bottomLeft" activeCell="A7" sqref="A7"/>
      <selection pane="bottomRight" activeCell="F7" sqref="F7"/>
    </sheetView>
  </sheetViews>
  <sheetFormatPr defaultColWidth="9.21875" defaultRowHeight="14.4" x14ac:dyDescent="0.3"/>
  <cols>
    <col min="1" max="1" width="8.44140625" style="53" customWidth="1"/>
    <col min="2" max="2" width="13.77734375" style="53" bestFit="1" customWidth="1"/>
    <col min="3" max="3" width="1.77734375" style="53" customWidth="1"/>
    <col min="4" max="4" width="14.21875" style="53" bestFit="1" customWidth="1"/>
    <col min="5" max="5" width="10" style="57" bestFit="1" customWidth="1"/>
    <col min="6" max="6" width="14.77734375" style="165" bestFit="1" customWidth="1"/>
    <col min="7" max="7" width="1.77734375" style="53" customWidth="1"/>
    <col min="8" max="8" width="12.21875" style="165" bestFit="1" customWidth="1"/>
    <col min="9" max="9" width="9.21875" style="165" customWidth="1"/>
    <col min="10" max="11" width="12.5546875" style="53" bestFit="1" customWidth="1"/>
    <col min="12" max="12" width="1.77734375" style="53" customWidth="1"/>
    <col min="13" max="13" width="13" style="165" customWidth="1"/>
    <col min="14" max="15" width="10.77734375" style="53" hidden="1" customWidth="1"/>
    <col min="16" max="16" width="12.77734375" style="53" hidden="1" customWidth="1"/>
    <col min="17" max="17" width="14" style="53" hidden="1" customWidth="1"/>
    <col min="18" max="18" width="9" style="53" hidden="1" customWidth="1"/>
    <col min="19" max="19" width="12.21875" style="53" hidden="1" customWidth="1"/>
    <col min="20" max="20" width="13.44140625" style="53" hidden="1" customWidth="1"/>
    <col min="21" max="16384" width="9.21875" style="53"/>
  </cols>
  <sheetData>
    <row r="1" spans="1:20" ht="23.7" customHeight="1" x14ac:dyDescent="0.3">
      <c r="A1" s="158" t="s">
        <v>189</v>
      </c>
      <c r="C1" s="51"/>
      <c r="G1" s="51"/>
      <c r="L1" s="51"/>
    </row>
    <row r="2" spans="1:20" ht="16.5" customHeight="1" x14ac:dyDescent="0.3">
      <c r="A2" s="167" t="s">
        <v>207</v>
      </c>
      <c r="C2" s="51"/>
      <c r="G2" s="51"/>
      <c r="L2" s="51"/>
    </row>
    <row r="3" spans="1:20" ht="16.5" customHeight="1" x14ac:dyDescent="0.3">
      <c r="C3" s="51"/>
      <c r="G3" s="51"/>
      <c r="L3" s="51"/>
    </row>
    <row r="4" spans="1:20" ht="16.5" customHeight="1" x14ac:dyDescent="0.3">
      <c r="A4" s="304"/>
      <c r="B4" s="304"/>
      <c r="C4" s="81"/>
      <c r="D4" s="304"/>
      <c r="E4" s="304"/>
      <c r="G4" s="81"/>
      <c r="H4" s="279" t="s">
        <v>96</v>
      </c>
      <c r="I4" s="280"/>
      <c r="J4" s="280"/>
      <c r="K4" s="280"/>
      <c r="L4" s="81"/>
      <c r="N4" s="308"/>
      <c r="O4" s="308"/>
      <c r="P4" s="308"/>
      <c r="Q4" s="308"/>
      <c r="R4" s="308"/>
      <c r="S4" s="308"/>
      <c r="T4" s="170"/>
    </row>
    <row r="5" spans="1:20" ht="67.2" customHeight="1" x14ac:dyDescent="0.3">
      <c r="A5" s="305" t="s">
        <v>68</v>
      </c>
      <c r="B5" s="306" t="s">
        <v>63</v>
      </c>
      <c r="C5" s="81"/>
      <c r="D5" s="9" t="s">
        <v>187</v>
      </c>
      <c r="E5" s="10" t="s">
        <v>97</v>
      </c>
      <c r="F5" s="10" t="s">
        <v>190</v>
      </c>
      <c r="G5" s="81"/>
      <c r="H5" s="74" t="s">
        <v>75</v>
      </c>
      <c r="I5" s="74" t="s">
        <v>191</v>
      </c>
      <c r="J5" s="74" t="s">
        <v>195</v>
      </c>
      <c r="K5" s="74" t="s">
        <v>192</v>
      </c>
      <c r="L5" s="81"/>
      <c r="M5" s="73" t="s">
        <v>194</v>
      </c>
      <c r="N5" s="169" t="s">
        <v>78</v>
      </c>
      <c r="O5" s="169" t="s">
        <v>79</v>
      </c>
      <c r="P5" s="171" t="s">
        <v>111</v>
      </c>
      <c r="Q5" s="171" t="s">
        <v>94</v>
      </c>
      <c r="R5" s="171" t="s">
        <v>82</v>
      </c>
      <c r="S5" s="169" t="s">
        <v>95</v>
      </c>
      <c r="T5" s="169" t="s">
        <v>99</v>
      </c>
    </row>
    <row r="6" spans="1:20" x14ac:dyDescent="0.3">
      <c r="A6" s="305"/>
      <c r="B6" s="306"/>
      <c r="C6" s="81"/>
      <c r="D6" s="78" t="s">
        <v>65</v>
      </c>
      <c r="E6" s="78" t="s">
        <v>1</v>
      </c>
      <c r="F6" s="78" t="s">
        <v>66</v>
      </c>
      <c r="G6" s="81"/>
      <c r="H6" s="78" t="s">
        <v>2</v>
      </c>
      <c r="I6" s="78" t="s">
        <v>3</v>
      </c>
      <c r="J6" s="78" t="s">
        <v>83</v>
      </c>
      <c r="K6" s="78" t="s">
        <v>114</v>
      </c>
      <c r="L6" s="81"/>
      <c r="M6" s="78" t="s">
        <v>84</v>
      </c>
      <c r="N6" s="169"/>
      <c r="O6" s="169"/>
      <c r="P6" s="171"/>
      <c r="Q6" s="171"/>
      <c r="R6" s="171"/>
      <c r="S6" s="169"/>
      <c r="T6" s="169"/>
    </row>
    <row r="7" spans="1:20" ht="16.5" customHeight="1" x14ac:dyDescent="0.3">
      <c r="A7" s="65">
        <v>4</v>
      </c>
      <c r="B7" s="66" t="s">
        <v>53</v>
      </c>
      <c r="C7" s="82"/>
      <c r="D7" s="184">
        <f>VLOOKUP(B7,'WF Need'!$B$7:$AB$64,27, FALSE)</f>
        <v>130068491.6009535</v>
      </c>
      <c r="E7" s="92">
        <f>D7/$D$65</f>
        <v>3.5640606087300249E-2</v>
      </c>
      <c r="F7" s="242" t="e">
        <f>#REF!</f>
        <v>#REF!</v>
      </c>
      <c r="G7" s="82"/>
      <c r="H7" s="185" t="e">
        <f>IF(F7&lt;Floors!$E$4,Floors!$E$4, "-")</f>
        <v>#REF!</v>
      </c>
      <c r="I7" s="65" t="e">
        <f>IF(H7=800000,"Y","N")</f>
        <v>#REF!</v>
      </c>
      <c r="J7" s="182" t="e">
        <f>IF(I7="Y",VLOOKUP(B7,#REF!,2,FALSE)*1.1,"N/A ")</f>
        <v>#REF!</v>
      </c>
      <c r="K7" s="182" t="e">
        <f t="shared" ref="K7:K64" si="0">IF(I7="Y",F7, "N/A ")</f>
        <v>#REF!</v>
      </c>
      <c r="L7" s="82"/>
      <c r="M7" s="182" t="e">
        <f>IF(I7="Y",IF(H7=750000,750000,O7),"N/A")</f>
        <v>#REF!</v>
      </c>
      <c r="N7" s="172" t="e">
        <f t="shared" ref="N7:N64" si="1">IF(J7&lt;H7,J7,H7)</f>
        <v>#REF!</v>
      </c>
      <c r="O7" s="170" t="e">
        <f t="shared" ref="O7:O64" si="2">IF(K7&gt;N7,K7,N7)</f>
        <v>#REF!</v>
      </c>
      <c r="P7" s="172" t="e">
        <f>IF(M7="n/a",(IF(AND(H7=750000,(F7&gt;750000)), H7-F7, 0)),M7-F7)</f>
        <v>#REF!</v>
      </c>
      <c r="Q7" s="172" t="e">
        <f>IF(AND(P7=0,I7="N"),F7,0)</f>
        <v>#REF!</v>
      </c>
      <c r="R7" s="173" t="e">
        <f>Q7/$Q$65</f>
        <v>#REF!</v>
      </c>
      <c r="S7" s="172" t="e">
        <f>IF(P7=0,-R7*$P$65,0)</f>
        <v>#REF!</v>
      </c>
      <c r="T7" s="172" t="e">
        <f>IF(P7=0,-R7*$P$65,P7)</f>
        <v>#REF!</v>
      </c>
    </row>
    <row r="8" spans="1:20" ht="16.5" customHeight="1" x14ac:dyDescent="0.3">
      <c r="A8" s="65">
        <v>1</v>
      </c>
      <c r="B8" s="66" t="s">
        <v>4</v>
      </c>
      <c r="C8" s="81"/>
      <c r="D8" s="179">
        <f>VLOOKUP(B8,'WF Need'!$B$7:$AB$64,27, FALSE)</f>
        <v>537690.93827651045</v>
      </c>
      <c r="E8" s="92">
        <f t="shared" ref="E8:E64" si="3">D8/$D$65</f>
        <v>1.4733492094778393E-4</v>
      </c>
      <c r="F8" s="8" t="e">
        <f>#REF!</f>
        <v>#REF!</v>
      </c>
      <c r="G8" s="81"/>
      <c r="H8" s="185" t="e">
        <f>IF(F8&lt;Floors!$E$4,Floors!$E$4, "-")</f>
        <v>#REF!</v>
      </c>
      <c r="I8" s="65" t="e">
        <f t="shared" ref="I8:I64" si="4">IF(H8=800000,"Y","N")</f>
        <v>#REF!</v>
      </c>
      <c r="J8" s="182" t="e">
        <f>IF(I8="Y",VLOOKUP(B8,#REF!,2,FALSE)*1.1,"N/A ")</f>
        <v>#REF!</v>
      </c>
      <c r="K8" s="182" t="e">
        <f>IF(I8="Y",F8, "N/A ")</f>
        <v>#REF!</v>
      </c>
      <c r="L8" s="81"/>
      <c r="M8" s="182" t="e">
        <f t="shared" ref="M8:M64" si="5">IF(I8="Y",IF(H8=750000,750000,O8),"N/A")</f>
        <v>#REF!</v>
      </c>
      <c r="N8" s="172" t="e">
        <f>IF(J8&lt;H8,J8,H8)</f>
        <v>#REF!</v>
      </c>
      <c r="O8" s="170" t="e">
        <f>IF(K8&gt;N8,K8,N8)</f>
        <v>#REF!</v>
      </c>
      <c r="P8" s="172" t="e">
        <f>IF(M8="n/a",(IF(AND(H8=750000,(F8&gt;750000)), H8-F8, 0)),M8-F8)</f>
        <v>#REF!</v>
      </c>
      <c r="Q8" s="172" t="e">
        <f t="shared" ref="Q8:Q64" si="6">IF(AND(P8=0,I8="N"),F8,0)</f>
        <v>#REF!</v>
      </c>
      <c r="R8" s="173" t="e">
        <f>Q8/$Q$65</f>
        <v>#REF!</v>
      </c>
      <c r="S8" s="172" t="e">
        <f>IF(P8=0,-R8*$P$65,0)</f>
        <v>#REF!</v>
      </c>
      <c r="T8" s="172" t="e">
        <f>IF(P8=0,-R8*$P$65,P8)</f>
        <v>#REF!</v>
      </c>
    </row>
    <row r="9" spans="1:20" ht="16.5" customHeight="1" x14ac:dyDescent="0.3">
      <c r="A9" s="65">
        <v>1</v>
      </c>
      <c r="B9" s="66" t="s">
        <v>5</v>
      </c>
      <c r="D9" s="179">
        <f>VLOOKUP(B9,'WF Need'!$B$7:$AB$64,27, FALSE)</f>
        <v>5764650.9963126108</v>
      </c>
      <c r="E9" s="92">
        <f t="shared" si="3"/>
        <v>1.5795958949126041E-3</v>
      </c>
      <c r="F9" s="8" t="e">
        <f>#REF!</f>
        <v>#REF!</v>
      </c>
      <c r="H9" s="185" t="e">
        <f>IF(F9&lt;Floors!$E$4,Floors!$E$4, "-")</f>
        <v>#REF!</v>
      </c>
      <c r="I9" s="65" t="e">
        <f t="shared" si="4"/>
        <v>#REF!</v>
      </c>
      <c r="J9" s="182" t="e">
        <f>IF(I9="Y",VLOOKUP(B9,#REF!,2,FALSE)*1.1,"N/A ")</f>
        <v>#REF!</v>
      </c>
      <c r="K9" s="182" t="e">
        <f t="shared" si="0"/>
        <v>#REF!</v>
      </c>
      <c r="M9" s="182" t="e">
        <f t="shared" si="5"/>
        <v>#REF!</v>
      </c>
      <c r="N9" s="172" t="e">
        <f t="shared" si="1"/>
        <v>#REF!</v>
      </c>
      <c r="O9" s="170" t="e">
        <f t="shared" si="2"/>
        <v>#REF!</v>
      </c>
      <c r="P9" s="172" t="e">
        <f t="shared" ref="P9:P27" si="7">IF(M9="n/a",(IF(AND(H9=750000,(F9&gt;750000)), H9-F9, 0)),M9-F9)</f>
        <v>#REF!</v>
      </c>
      <c r="Q9" s="172" t="e">
        <f t="shared" si="6"/>
        <v>#REF!</v>
      </c>
      <c r="R9" s="173" t="e">
        <f t="shared" ref="R9:R64" si="8">Q9/$Q$65</f>
        <v>#REF!</v>
      </c>
      <c r="S9" s="172" t="e">
        <f t="shared" ref="S9:S64" si="9">IF(P9=0,-R9*$P$65,0)</f>
        <v>#REF!</v>
      </c>
      <c r="T9" s="172" t="e">
        <f t="shared" ref="T9:T64" si="10">IF(P9=0,-R9*$P$65,P9)</f>
        <v>#REF!</v>
      </c>
    </row>
    <row r="10" spans="1:20" ht="16.5" customHeight="1" x14ac:dyDescent="0.3">
      <c r="A10" s="65">
        <v>2</v>
      </c>
      <c r="B10" s="66" t="s">
        <v>19</v>
      </c>
      <c r="D10" s="179">
        <f>VLOOKUP(B10,'WF Need'!$B$7:$AB$64,27, FALSE)</f>
        <v>17815567.937039394</v>
      </c>
      <c r="E10" s="92">
        <f t="shared" si="3"/>
        <v>4.8817175570359476E-3</v>
      </c>
      <c r="F10" s="8" t="e">
        <f>#REF!</f>
        <v>#REF!</v>
      </c>
      <c r="H10" s="185" t="e">
        <f>IF(F10&lt;Floors!$E$4,Floors!$E$4, "-")</f>
        <v>#REF!</v>
      </c>
      <c r="I10" s="65" t="e">
        <f t="shared" si="4"/>
        <v>#REF!</v>
      </c>
      <c r="J10" s="182" t="e">
        <f>IF(I10="Y",VLOOKUP(B10,#REF!,2,FALSE)*1.1,"N/A ")</f>
        <v>#REF!</v>
      </c>
      <c r="K10" s="182" t="e">
        <f t="shared" si="0"/>
        <v>#REF!</v>
      </c>
      <c r="M10" s="182" t="e">
        <f t="shared" si="5"/>
        <v>#REF!</v>
      </c>
      <c r="N10" s="172" t="e">
        <f t="shared" si="1"/>
        <v>#REF!</v>
      </c>
      <c r="O10" s="170" t="e">
        <f t="shared" si="2"/>
        <v>#REF!</v>
      </c>
      <c r="P10" s="172" t="e">
        <f t="shared" si="7"/>
        <v>#REF!</v>
      </c>
      <c r="Q10" s="172" t="e">
        <f t="shared" si="6"/>
        <v>#REF!</v>
      </c>
      <c r="R10" s="173" t="e">
        <f t="shared" si="8"/>
        <v>#REF!</v>
      </c>
      <c r="S10" s="172" t="e">
        <f t="shared" si="9"/>
        <v>#REF!</v>
      </c>
      <c r="T10" s="172" t="e">
        <f t="shared" si="10"/>
        <v>#REF!</v>
      </c>
    </row>
    <row r="11" spans="1:20" ht="16.5" customHeight="1" x14ac:dyDescent="0.3">
      <c r="A11" s="65">
        <v>1</v>
      </c>
      <c r="B11" s="66" t="s">
        <v>6</v>
      </c>
      <c r="D11" s="179">
        <f>VLOOKUP(B11,'WF Need'!$B$7:$AB$64,27, FALSE)</f>
        <v>4181866.1761824954</v>
      </c>
      <c r="E11" s="92">
        <f t="shared" si="3"/>
        <v>1.1458904709404061E-3</v>
      </c>
      <c r="F11" s="8" t="e">
        <f>#REF!</f>
        <v>#REF!</v>
      </c>
      <c r="H11" s="185" t="e">
        <f>IF(F11&lt;Floors!$E$4,Floors!$E$4, "-")</f>
        <v>#REF!</v>
      </c>
      <c r="I11" s="65" t="e">
        <f t="shared" si="4"/>
        <v>#REF!</v>
      </c>
      <c r="J11" s="182" t="e">
        <f>IF(I11="Y",VLOOKUP(B11,#REF!,2,FALSE)*1.1,"N/A ")</f>
        <v>#REF!</v>
      </c>
      <c r="K11" s="182" t="e">
        <f t="shared" si="0"/>
        <v>#REF!</v>
      </c>
      <c r="M11" s="182" t="e">
        <f t="shared" si="5"/>
        <v>#REF!</v>
      </c>
      <c r="N11" s="172" t="e">
        <f t="shared" si="1"/>
        <v>#REF!</v>
      </c>
      <c r="O11" s="170" t="e">
        <f t="shared" si="2"/>
        <v>#REF!</v>
      </c>
      <c r="P11" s="172" t="e">
        <f t="shared" si="7"/>
        <v>#REF!</v>
      </c>
      <c r="Q11" s="172" t="e">
        <f t="shared" si="6"/>
        <v>#REF!</v>
      </c>
      <c r="R11" s="173" t="e">
        <f t="shared" si="8"/>
        <v>#REF!</v>
      </c>
      <c r="S11" s="172" t="e">
        <f t="shared" si="9"/>
        <v>#REF!</v>
      </c>
      <c r="T11" s="172" t="e">
        <f t="shared" si="10"/>
        <v>#REF!</v>
      </c>
    </row>
    <row r="12" spans="1:20" ht="16.5" customHeight="1" x14ac:dyDescent="0.3">
      <c r="A12" s="65">
        <v>1</v>
      </c>
      <c r="B12" s="66" t="s">
        <v>7</v>
      </c>
      <c r="C12" s="83"/>
      <c r="D12" s="179">
        <f>VLOOKUP(B12,'WF Need'!$B$7:$AB$64,27, FALSE)</f>
        <v>3031794.6154731177</v>
      </c>
      <c r="E12" s="92">
        <f t="shared" si="3"/>
        <v>8.3075459934743481E-4</v>
      </c>
      <c r="F12" s="8" t="e">
        <f>#REF!</f>
        <v>#REF!</v>
      </c>
      <c r="G12" s="83"/>
      <c r="H12" s="185" t="e">
        <f>IF(F12&lt;Floors!$E$4,Floors!$E$4, "-")</f>
        <v>#REF!</v>
      </c>
      <c r="I12" s="65" t="e">
        <f t="shared" si="4"/>
        <v>#REF!</v>
      </c>
      <c r="J12" s="182" t="e">
        <f>IF(I12="Y",VLOOKUP(B12,#REF!,2,FALSE)*1.1,"N/A ")</f>
        <v>#REF!</v>
      </c>
      <c r="K12" s="182" t="e">
        <f t="shared" si="0"/>
        <v>#REF!</v>
      </c>
      <c r="L12" s="83"/>
      <c r="M12" s="182" t="e">
        <f t="shared" si="5"/>
        <v>#REF!</v>
      </c>
      <c r="N12" s="172" t="e">
        <f t="shared" si="1"/>
        <v>#REF!</v>
      </c>
      <c r="O12" s="170" t="e">
        <f>IF(K12&gt;N12,K12,N12)</f>
        <v>#REF!</v>
      </c>
      <c r="P12" s="172" t="e">
        <f t="shared" si="7"/>
        <v>#REF!</v>
      </c>
      <c r="Q12" s="172" t="e">
        <f t="shared" si="6"/>
        <v>#REF!</v>
      </c>
      <c r="R12" s="173" t="e">
        <f t="shared" si="8"/>
        <v>#REF!</v>
      </c>
      <c r="S12" s="172" t="e">
        <f t="shared" si="9"/>
        <v>#REF!</v>
      </c>
      <c r="T12" s="172" t="e">
        <f t="shared" si="10"/>
        <v>#REF!</v>
      </c>
    </row>
    <row r="13" spans="1:20" ht="16.5" customHeight="1" x14ac:dyDescent="0.3">
      <c r="A13" s="65">
        <v>3</v>
      </c>
      <c r="B13" s="66" t="s">
        <v>41</v>
      </c>
      <c r="D13" s="179">
        <f>VLOOKUP(B13,'WF Need'!$B$7:$AB$64,27, FALSE)</f>
        <v>75537472.944703132</v>
      </c>
      <c r="E13" s="92">
        <f t="shared" si="3"/>
        <v>2.0698335814578851E-2</v>
      </c>
      <c r="F13" s="8" t="e">
        <f>#REF!</f>
        <v>#REF!</v>
      </c>
      <c r="H13" s="185" t="e">
        <f>IF(F13&lt;Floors!$E$4,Floors!$E$4, "-")</f>
        <v>#REF!</v>
      </c>
      <c r="I13" s="65" t="e">
        <f t="shared" si="4"/>
        <v>#REF!</v>
      </c>
      <c r="J13" s="182" t="e">
        <f>IF(I13="Y",VLOOKUP(B13,#REF!,2,FALSE)*1.1,"N/A ")</f>
        <v>#REF!</v>
      </c>
      <c r="K13" s="182" t="e">
        <f t="shared" si="0"/>
        <v>#REF!</v>
      </c>
      <c r="M13" s="182" t="e">
        <f t="shared" si="5"/>
        <v>#REF!</v>
      </c>
      <c r="N13" s="172" t="e">
        <f t="shared" si="1"/>
        <v>#REF!</v>
      </c>
      <c r="O13" s="170" t="e">
        <f t="shared" si="2"/>
        <v>#REF!</v>
      </c>
      <c r="P13" s="172" t="e">
        <f t="shared" si="7"/>
        <v>#REF!</v>
      </c>
      <c r="Q13" s="172" t="e">
        <f t="shared" si="6"/>
        <v>#REF!</v>
      </c>
      <c r="R13" s="173" t="e">
        <f t="shared" si="8"/>
        <v>#REF!</v>
      </c>
      <c r="S13" s="172" t="e">
        <f t="shared" si="9"/>
        <v>#REF!</v>
      </c>
      <c r="T13" s="172" t="e">
        <f t="shared" si="10"/>
        <v>#REF!</v>
      </c>
    </row>
    <row r="14" spans="1:20" ht="16.5" customHeight="1" x14ac:dyDescent="0.3">
      <c r="A14" s="65">
        <v>1</v>
      </c>
      <c r="B14" s="66" t="s">
        <v>8</v>
      </c>
      <c r="D14" s="179">
        <f>VLOOKUP(B14,'WF Need'!$B$7:$AB$64,27, FALSE)</f>
        <v>4652062.4088979429</v>
      </c>
      <c r="E14" s="92">
        <f t="shared" si="3"/>
        <v>1.2747308880750735E-3</v>
      </c>
      <c r="F14" s="8" t="e">
        <f>#REF!</f>
        <v>#REF!</v>
      </c>
      <c r="H14" s="185" t="e">
        <f>IF(F14&lt;Floors!$E$4,Floors!$E$4, "-")</f>
        <v>#REF!</v>
      </c>
      <c r="I14" s="65" t="e">
        <f t="shared" si="4"/>
        <v>#REF!</v>
      </c>
      <c r="J14" s="182" t="e">
        <f>IF(I14="Y",VLOOKUP(B14,#REF!,2,FALSE)*1.1,"N/A ")</f>
        <v>#REF!</v>
      </c>
      <c r="K14" s="182" t="e">
        <f t="shared" si="0"/>
        <v>#REF!</v>
      </c>
      <c r="M14" s="182" t="e">
        <f t="shared" si="5"/>
        <v>#REF!</v>
      </c>
      <c r="N14" s="172" t="e">
        <f t="shared" si="1"/>
        <v>#REF!</v>
      </c>
      <c r="O14" s="170" t="e">
        <f t="shared" si="2"/>
        <v>#REF!</v>
      </c>
      <c r="P14" s="172" t="e">
        <f t="shared" si="7"/>
        <v>#REF!</v>
      </c>
      <c r="Q14" s="172" t="e">
        <f t="shared" si="6"/>
        <v>#REF!</v>
      </c>
      <c r="R14" s="173" t="e">
        <f t="shared" si="8"/>
        <v>#REF!</v>
      </c>
      <c r="S14" s="172" t="e">
        <f t="shared" si="9"/>
        <v>#REF!</v>
      </c>
      <c r="T14" s="172" t="e">
        <f t="shared" si="10"/>
        <v>#REF!</v>
      </c>
    </row>
    <row r="15" spans="1:20" ht="16.5" customHeight="1" x14ac:dyDescent="0.3">
      <c r="A15" s="65">
        <v>2</v>
      </c>
      <c r="B15" s="66" t="s">
        <v>20</v>
      </c>
      <c r="D15" s="179">
        <f>VLOOKUP(B15,'WF Need'!$B$7:$AB$64,27, FALSE)</f>
        <v>16024044.220045317</v>
      </c>
      <c r="E15" s="92">
        <f t="shared" si="3"/>
        <v>4.3908147234016891E-3</v>
      </c>
      <c r="F15" s="8" t="e">
        <f>#REF!</f>
        <v>#REF!</v>
      </c>
      <c r="H15" s="185" t="e">
        <f>IF(F15&lt;Floors!$E$4,Floors!$E$4, "-")</f>
        <v>#REF!</v>
      </c>
      <c r="I15" s="65" t="e">
        <f t="shared" si="4"/>
        <v>#REF!</v>
      </c>
      <c r="J15" s="182" t="e">
        <f>IF(I15="Y",VLOOKUP(B15,#REF!,2,FALSE)*1.1,"N/A ")</f>
        <v>#REF!</v>
      </c>
      <c r="K15" s="182" t="e">
        <f t="shared" si="0"/>
        <v>#REF!</v>
      </c>
      <c r="M15" s="182" t="e">
        <f t="shared" si="5"/>
        <v>#REF!</v>
      </c>
      <c r="N15" s="172" t="e">
        <f t="shared" si="1"/>
        <v>#REF!</v>
      </c>
      <c r="O15" s="170" t="e">
        <f t="shared" si="2"/>
        <v>#REF!</v>
      </c>
      <c r="P15" s="172" t="e">
        <f t="shared" si="7"/>
        <v>#REF!</v>
      </c>
      <c r="Q15" s="172" t="e">
        <f t="shared" si="6"/>
        <v>#REF!</v>
      </c>
      <c r="R15" s="173" t="e">
        <f t="shared" si="8"/>
        <v>#REF!</v>
      </c>
      <c r="S15" s="172" t="e">
        <f t="shared" si="9"/>
        <v>#REF!</v>
      </c>
      <c r="T15" s="172" t="e">
        <f t="shared" si="10"/>
        <v>#REF!</v>
      </c>
    </row>
    <row r="16" spans="1:20" ht="16.5" customHeight="1" x14ac:dyDescent="0.3">
      <c r="A16" s="65">
        <v>3</v>
      </c>
      <c r="B16" s="66" t="s">
        <v>42</v>
      </c>
      <c r="D16" s="179">
        <f>VLOOKUP(B16,'WF Need'!$B$7:$AB$64,27, FALSE)</f>
        <v>99624687.859798446</v>
      </c>
      <c r="E16" s="92">
        <f t="shared" si="3"/>
        <v>2.7298573335306449E-2</v>
      </c>
      <c r="F16" s="8" t="e">
        <f>#REF!</f>
        <v>#REF!</v>
      </c>
      <c r="H16" s="185" t="e">
        <f>IF(F16&lt;Floors!$E$4,Floors!$E$4, "-")</f>
        <v>#REF!</v>
      </c>
      <c r="I16" s="65" t="e">
        <f t="shared" si="4"/>
        <v>#REF!</v>
      </c>
      <c r="J16" s="182" t="e">
        <f>IF(I16="Y",VLOOKUP(B16,#REF!,2,FALSE)*1.1,"N/A ")</f>
        <v>#REF!</v>
      </c>
      <c r="K16" s="182" t="e">
        <f t="shared" si="0"/>
        <v>#REF!</v>
      </c>
      <c r="M16" s="182" t="e">
        <f t="shared" si="5"/>
        <v>#REF!</v>
      </c>
      <c r="N16" s="172" t="e">
        <f t="shared" si="1"/>
        <v>#REF!</v>
      </c>
      <c r="O16" s="170" t="e">
        <f t="shared" si="2"/>
        <v>#REF!</v>
      </c>
      <c r="P16" s="172" t="e">
        <f t="shared" si="7"/>
        <v>#REF!</v>
      </c>
      <c r="Q16" s="172" t="e">
        <f t="shared" si="6"/>
        <v>#REF!</v>
      </c>
      <c r="R16" s="173" t="e">
        <f t="shared" si="8"/>
        <v>#REF!</v>
      </c>
      <c r="S16" s="172" t="e">
        <f t="shared" si="9"/>
        <v>#REF!</v>
      </c>
      <c r="T16" s="172" t="e">
        <f t="shared" si="10"/>
        <v>#REF!</v>
      </c>
    </row>
    <row r="17" spans="1:20" ht="16.5" customHeight="1" x14ac:dyDescent="0.3">
      <c r="A17" s="65">
        <v>1</v>
      </c>
      <c r="B17" s="66" t="s">
        <v>9</v>
      </c>
      <c r="D17" s="179">
        <f>VLOOKUP(B17,'WF Need'!$B$7:$AB$64,27, FALSE)</f>
        <v>3985635.2059582355</v>
      </c>
      <c r="E17" s="92">
        <f t="shared" si="3"/>
        <v>1.0921204100608785E-3</v>
      </c>
      <c r="F17" s="8" t="e">
        <f>#REF!</f>
        <v>#REF!</v>
      </c>
      <c r="H17" s="185" t="e">
        <f>IF(F17&lt;Floors!$E$4,Floors!$E$4, "-")</f>
        <v>#REF!</v>
      </c>
      <c r="I17" s="65" t="e">
        <f t="shared" si="4"/>
        <v>#REF!</v>
      </c>
      <c r="J17" s="182" t="e">
        <f>IF(I17="Y",VLOOKUP(B17,#REF!,2,FALSE)*1.1,"N/A ")</f>
        <v>#REF!</v>
      </c>
      <c r="K17" s="182" t="e">
        <f t="shared" si="0"/>
        <v>#REF!</v>
      </c>
      <c r="M17" s="182" t="e">
        <f t="shared" si="5"/>
        <v>#REF!</v>
      </c>
      <c r="N17" s="172" t="e">
        <f t="shared" si="1"/>
        <v>#REF!</v>
      </c>
      <c r="O17" s="170" t="e">
        <f t="shared" si="2"/>
        <v>#REF!</v>
      </c>
      <c r="P17" s="172" t="e">
        <f t="shared" si="7"/>
        <v>#REF!</v>
      </c>
      <c r="Q17" s="172" t="e">
        <f t="shared" si="6"/>
        <v>#REF!</v>
      </c>
      <c r="R17" s="173" t="e">
        <f t="shared" si="8"/>
        <v>#REF!</v>
      </c>
      <c r="S17" s="172" t="e">
        <f t="shared" si="9"/>
        <v>#REF!</v>
      </c>
      <c r="T17" s="172" t="e">
        <f t="shared" si="10"/>
        <v>#REF!</v>
      </c>
    </row>
    <row r="18" spans="1:20" ht="16.5" customHeight="1" x14ac:dyDescent="0.3">
      <c r="A18" s="65">
        <v>2</v>
      </c>
      <c r="B18" s="66" t="s">
        <v>21</v>
      </c>
      <c r="C18" s="83"/>
      <c r="D18" s="179">
        <f>VLOOKUP(B18,'WF Need'!$B$7:$AB$64,27, FALSE)</f>
        <v>12498364.227204846</v>
      </c>
      <c r="E18" s="92">
        <f t="shared" si="3"/>
        <v>3.4247285462803601E-3</v>
      </c>
      <c r="F18" s="8" t="e">
        <f>#REF!</f>
        <v>#REF!</v>
      </c>
      <c r="G18" s="83"/>
      <c r="H18" s="185" t="e">
        <f>IF(F18&lt;Floors!$E$4,Floors!$E$4, "-")</f>
        <v>#REF!</v>
      </c>
      <c r="I18" s="65" t="e">
        <f t="shared" si="4"/>
        <v>#REF!</v>
      </c>
      <c r="J18" s="182" t="e">
        <f>IF(I18="Y",VLOOKUP(B18,#REF!,2,FALSE)*1.1,"N/A ")</f>
        <v>#REF!</v>
      </c>
      <c r="K18" s="182" t="e">
        <f t="shared" si="0"/>
        <v>#REF!</v>
      </c>
      <c r="L18" s="83"/>
      <c r="M18" s="182" t="e">
        <f t="shared" si="5"/>
        <v>#REF!</v>
      </c>
      <c r="N18" s="172" t="e">
        <f t="shared" si="1"/>
        <v>#REF!</v>
      </c>
      <c r="O18" s="170" t="e">
        <f t="shared" si="2"/>
        <v>#REF!</v>
      </c>
      <c r="P18" s="172" t="e">
        <f t="shared" si="7"/>
        <v>#REF!</v>
      </c>
      <c r="Q18" s="172" t="e">
        <f t="shared" si="6"/>
        <v>#REF!</v>
      </c>
      <c r="R18" s="173" t="e">
        <f t="shared" si="8"/>
        <v>#REF!</v>
      </c>
      <c r="S18" s="172" t="e">
        <f t="shared" si="9"/>
        <v>#REF!</v>
      </c>
      <c r="T18" s="172" t="e">
        <f t="shared" si="10"/>
        <v>#REF!</v>
      </c>
    </row>
    <row r="19" spans="1:20" ht="16.5" customHeight="1" x14ac:dyDescent="0.3">
      <c r="A19" s="65">
        <v>2</v>
      </c>
      <c r="B19" s="66" t="s">
        <v>22</v>
      </c>
      <c r="D19" s="179">
        <f>VLOOKUP(B19,'WF Need'!$B$7:$AB$64,27, FALSE)</f>
        <v>10713922.103373047</v>
      </c>
      <c r="E19" s="92">
        <f t="shared" si="3"/>
        <v>2.9357661693182797E-3</v>
      </c>
      <c r="F19" s="8" t="e">
        <f>#REF!</f>
        <v>#REF!</v>
      </c>
      <c r="H19" s="185" t="e">
        <f>IF(F19&lt;Floors!$E$4,Floors!$E$4, "-")</f>
        <v>#REF!</v>
      </c>
      <c r="I19" s="65" t="e">
        <f t="shared" si="4"/>
        <v>#REF!</v>
      </c>
      <c r="J19" s="182" t="e">
        <f>IF(I19="Y",VLOOKUP(B19,#REF!,2,FALSE)*1.1,"N/A ")</f>
        <v>#REF!</v>
      </c>
      <c r="K19" s="182" t="e">
        <f t="shared" si="0"/>
        <v>#REF!</v>
      </c>
      <c r="M19" s="182" t="e">
        <f t="shared" si="5"/>
        <v>#REF!</v>
      </c>
      <c r="N19" s="172" t="e">
        <f t="shared" si="1"/>
        <v>#REF!</v>
      </c>
      <c r="O19" s="170" t="e">
        <f t="shared" si="2"/>
        <v>#REF!</v>
      </c>
      <c r="P19" s="172" t="e">
        <f t="shared" si="7"/>
        <v>#REF!</v>
      </c>
      <c r="Q19" s="172" t="e">
        <f t="shared" si="6"/>
        <v>#REF!</v>
      </c>
      <c r="R19" s="173" t="e">
        <f t="shared" si="8"/>
        <v>#REF!</v>
      </c>
      <c r="S19" s="172" t="e">
        <f t="shared" si="9"/>
        <v>#REF!</v>
      </c>
      <c r="T19" s="172" t="e">
        <f t="shared" si="10"/>
        <v>#REF!</v>
      </c>
    </row>
    <row r="20" spans="1:20" ht="16.5" customHeight="1" x14ac:dyDescent="0.3">
      <c r="A20" s="65">
        <v>1</v>
      </c>
      <c r="B20" s="66" t="s">
        <v>10</v>
      </c>
      <c r="D20" s="179">
        <f>VLOOKUP(B20,'WF Need'!$B$7:$AB$64,27, FALSE)</f>
        <v>3201379.3304445031</v>
      </c>
      <c r="E20" s="92">
        <f t="shared" si="3"/>
        <v>8.7722320946452125E-4</v>
      </c>
      <c r="F20" s="8" t="e">
        <f>#REF!</f>
        <v>#REF!</v>
      </c>
      <c r="H20" s="185" t="e">
        <f>IF(F20&lt;Floors!$E$4,Floors!$E$4, "-")</f>
        <v>#REF!</v>
      </c>
      <c r="I20" s="65" t="e">
        <f t="shared" si="4"/>
        <v>#REF!</v>
      </c>
      <c r="J20" s="182" t="e">
        <f>IF(I20="Y",VLOOKUP(B20,#REF!,2,FALSE)*1.1,"N/A ")</f>
        <v>#REF!</v>
      </c>
      <c r="K20" s="182" t="e">
        <f t="shared" si="0"/>
        <v>#REF!</v>
      </c>
      <c r="M20" s="182" t="e">
        <f t="shared" si="5"/>
        <v>#REF!</v>
      </c>
      <c r="N20" s="172" t="e">
        <f t="shared" si="1"/>
        <v>#REF!</v>
      </c>
      <c r="O20" s="170" t="e">
        <f t="shared" si="2"/>
        <v>#REF!</v>
      </c>
      <c r="P20" s="172" t="e">
        <f t="shared" si="7"/>
        <v>#REF!</v>
      </c>
      <c r="Q20" s="172" t="e">
        <f t="shared" si="6"/>
        <v>#REF!</v>
      </c>
      <c r="R20" s="173" t="e">
        <f t="shared" si="8"/>
        <v>#REF!</v>
      </c>
      <c r="S20" s="172" t="e">
        <f t="shared" si="9"/>
        <v>#REF!</v>
      </c>
      <c r="T20" s="172" t="e">
        <f t="shared" si="10"/>
        <v>#REF!</v>
      </c>
    </row>
    <row r="21" spans="1:20" ht="16.5" customHeight="1" x14ac:dyDescent="0.3">
      <c r="A21" s="65">
        <v>3</v>
      </c>
      <c r="B21" s="66" t="s">
        <v>43</v>
      </c>
      <c r="D21" s="179">
        <f>VLOOKUP(B21,'WF Need'!$B$7:$AB$64,27, FALSE)</f>
        <v>100219291.29628448</v>
      </c>
      <c r="E21" s="92">
        <f t="shared" si="3"/>
        <v>2.7461503085602704E-2</v>
      </c>
      <c r="F21" s="8" t="e">
        <f>#REF!</f>
        <v>#REF!</v>
      </c>
      <c r="H21" s="185" t="e">
        <f>IF(F21&lt;Floors!$E$4,Floors!$E$4, "-")</f>
        <v>#REF!</v>
      </c>
      <c r="I21" s="65" t="e">
        <f t="shared" si="4"/>
        <v>#REF!</v>
      </c>
      <c r="J21" s="182" t="e">
        <f>IF(I21="Y",VLOOKUP(B21,#REF!,2,FALSE)*1.1,"N/A ")</f>
        <v>#REF!</v>
      </c>
      <c r="K21" s="182" t="e">
        <f t="shared" si="0"/>
        <v>#REF!</v>
      </c>
      <c r="M21" s="182" t="e">
        <f t="shared" si="5"/>
        <v>#REF!</v>
      </c>
      <c r="N21" s="172" t="e">
        <f t="shared" si="1"/>
        <v>#REF!</v>
      </c>
      <c r="O21" s="170" t="e">
        <f t="shared" si="2"/>
        <v>#REF!</v>
      </c>
      <c r="P21" s="172" t="e">
        <f t="shared" si="7"/>
        <v>#REF!</v>
      </c>
      <c r="Q21" s="172" t="e">
        <f t="shared" si="6"/>
        <v>#REF!</v>
      </c>
      <c r="R21" s="173" t="e">
        <f t="shared" si="8"/>
        <v>#REF!</v>
      </c>
      <c r="S21" s="172" t="e">
        <f t="shared" si="9"/>
        <v>#REF!</v>
      </c>
      <c r="T21" s="172" t="e">
        <f t="shared" si="10"/>
        <v>#REF!</v>
      </c>
    </row>
    <row r="22" spans="1:20" ht="16.5" customHeight="1" x14ac:dyDescent="0.3">
      <c r="A22" s="65">
        <v>2</v>
      </c>
      <c r="B22" s="66" t="s">
        <v>23</v>
      </c>
      <c r="D22" s="179">
        <f>VLOOKUP(B22,'WF Need'!$B$7:$AB$64,27, FALSE)</f>
        <v>14272849.055425493</v>
      </c>
      <c r="E22" s="92">
        <f t="shared" si="3"/>
        <v>3.9109624834319703E-3</v>
      </c>
      <c r="F22" s="8" t="e">
        <f>#REF!</f>
        <v>#REF!</v>
      </c>
      <c r="H22" s="185" t="e">
        <f>IF(F22&lt;Floors!$E$4,Floors!$E$4, "-")</f>
        <v>#REF!</v>
      </c>
      <c r="I22" s="65" t="e">
        <f t="shared" si="4"/>
        <v>#REF!</v>
      </c>
      <c r="J22" s="182" t="e">
        <f>IF(I22="Y",VLOOKUP(B22,#REF!,2,FALSE)*1.1,"N/A ")</f>
        <v>#REF!</v>
      </c>
      <c r="K22" s="182" t="e">
        <f t="shared" si="0"/>
        <v>#REF!</v>
      </c>
      <c r="M22" s="182" t="e">
        <f t="shared" si="5"/>
        <v>#REF!</v>
      </c>
      <c r="N22" s="172" t="e">
        <f t="shared" si="1"/>
        <v>#REF!</v>
      </c>
      <c r="O22" s="170" t="e">
        <f t="shared" si="2"/>
        <v>#REF!</v>
      </c>
      <c r="P22" s="172" t="e">
        <f t="shared" si="7"/>
        <v>#REF!</v>
      </c>
      <c r="Q22" s="172" t="e">
        <f t="shared" si="6"/>
        <v>#REF!</v>
      </c>
      <c r="R22" s="173" t="e">
        <f t="shared" si="8"/>
        <v>#REF!</v>
      </c>
      <c r="S22" s="172" t="e">
        <f t="shared" si="9"/>
        <v>#REF!</v>
      </c>
      <c r="T22" s="172" t="e">
        <f t="shared" si="10"/>
        <v>#REF!</v>
      </c>
    </row>
    <row r="23" spans="1:20" ht="16.5" customHeight="1" x14ac:dyDescent="0.3">
      <c r="A23" s="65">
        <v>2</v>
      </c>
      <c r="B23" s="66" t="s">
        <v>24</v>
      </c>
      <c r="D23" s="179">
        <f>VLOOKUP(B23,'WF Need'!$B$7:$AB$64,27, FALSE)</f>
        <v>8445762.8202142436</v>
      </c>
      <c r="E23" s="92">
        <f t="shared" si="3"/>
        <v>2.3142584501211765E-3</v>
      </c>
      <c r="F23" s="8" t="e">
        <f>#REF!</f>
        <v>#REF!</v>
      </c>
      <c r="H23" s="185" t="e">
        <f>IF(F23&lt;Floors!$E$4,Floors!$E$4, "-")</f>
        <v>#REF!</v>
      </c>
      <c r="I23" s="65" t="e">
        <f t="shared" si="4"/>
        <v>#REF!</v>
      </c>
      <c r="J23" s="182" t="e">
        <f>IF(I23="Y",VLOOKUP(B23,#REF!,2,FALSE)*1.1,"N/A ")</f>
        <v>#REF!</v>
      </c>
      <c r="K23" s="182" t="e">
        <f t="shared" si="0"/>
        <v>#REF!</v>
      </c>
      <c r="M23" s="182" t="e">
        <f t="shared" si="5"/>
        <v>#REF!</v>
      </c>
      <c r="N23" s="172" t="e">
        <f t="shared" si="1"/>
        <v>#REF!</v>
      </c>
      <c r="O23" s="170" t="e">
        <f t="shared" si="2"/>
        <v>#REF!</v>
      </c>
      <c r="P23" s="172" t="e">
        <f t="shared" si="7"/>
        <v>#REF!</v>
      </c>
      <c r="Q23" s="172" t="e">
        <f t="shared" si="6"/>
        <v>#REF!</v>
      </c>
      <c r="R23" s="173" t="e">
        <f t="shared" si="8"/>
        <v>#REF!</v>
      </c>
      <c r="S23" s="172" t="e">
        <f t="shared" si="9"/>
        <v>#REF!</v>
      </c>
      <c r="T23" s="172" t="e">
        <f t="shared" si="10"/>
        <v>#REF!</v>
      </c>
    </row>
    <row r="24" spans="1:20" ht="16.5" customHeight="1" x14ac:dyDescent="0.3">
      <c r="A24" s="65">
        <v>1</v>
      </c>
      <c r="B24" s="66" t="s">
        <v>11</v>
      </c>
      <c r="D24" s="179">
        <f>VLOOKUP(B24,'WF Need'!$B$7:$AB$64,27, FALSE)</f>
        <v>3616909.2381312135</v>
      </c>
      <c r="E24" s="92">
        <f t="shared" si="3"/>
        <v>9.9108428046694474E-4</v>
      </c>
      <c r="F24" s="8" t="e">
        <f>#REF!</f>
        <v>#REF!</v>
      </c>
      <c r="H24" s="185" t="e">
        <f>IF(F24&lt;Floors!$E$4,Floors!$E$4, "-")</f>
        <v>#REF!</v>
      </c>
      <c r="I24" s="65" t="e">
        <f t="shared" si="4"/>
        <v>#REF!</v>
      </c>
      <c r="J24" s="182" t="e">
        <f>IF(I24="Y",VLOOKUP(B24,#REF!,2,FALSE)*1.1,"N/A ")</f>
        <v>#REF!</v>
      </c>
      <c r="K24" s="182" t="e">
        <f t="shared" si="0"/>
        <v>#REF!</v>
      </c>
      <c r="M24" s="183" t="e">
        <f t="shared" si="5"/>
        <v>#REF!</v>
      </c>
      <c r="N24" s="172" t="e">
        <f t="shared" si="1"/>
        <v>#REF!</v>
      </c>
      <c r="O24" s="174" t="e">
        <f t="shared" si="2"/>
        <v>#REF!</v>
      </c>
      <c r="P24" s="172" t="e">
        <f t="shared" si="7"/>
        <v>#REF!</v>
      </c>
      <c r="Q24" s="172" t="e">
        <f t="shared" si="6"/>
        <v>#REF!</v>
      </c>
      <c r="R24" s="173" t="e">
        <f t="shared" si="8"/>
        <v>#REF!</v>
      </c>
      <c r="S24" s="172" t="e">
        <f t="shared" si="9"/>
        <v>#REF!</v>
      </c>
      <c r="T24" s="172" t="e">
        <f t="shared" si="10"/>
        <v>#REF!</v>
      </c>
    </row>
    <row r="25" spans="1:20" ht="16.5" customHeight="1" x14ac:dyDescent="0.3">
      <c r="A25" s="65">
        <v>4</v>
      </c>
      <c r="B25" s="66" t="s">
        <v>54</v>
      </c>
      <c r="D25" s="179">
        <f>VLOOKUP(B25,'WF Need'!$B$7:$AB$64,27, FALSE)</f>
        <v>1005846169.1031355</v>
      </c>
      <c r="E25" s="92">
        <f t="shared" si="3"/>
        <v>0.27561607470169236</v>
      </c>
      <c r="F25" s="8" t="e">
        <f>#REF!</f>
        <v>#REF!</v>
      </c>
      <c r="H25" s="185" t="e">
        <f>IF(F25&lt;Floors!$E$4,Floors!$E$4, "-")</f>
        <v>#REF!</v>
      </c>
      <c r="I25" s="65" t="e">
        <f t="shared" si="4"/>
        <v>#REF!</v>
      </c>
      <c r="J25" s="182" t="e">
        <f>IF(I25="Y",VLOOKUP(B25,#REF!,2,FALSE)*1.1,"N/A ")</f>
        <v>#REF!</v>
      </c>
      <c r="K25" s="182" t="e">
        <f t="shared" si="0"/>
        <v>#REF!</v>
      </c>
      <c r="M25" s="182" t="e">
        <f t="shared" si="5"/>
        <v>#REF!</v>
      </c>
      <c r="N25" s="172" t="e">
        <f t="shared" si="1"/>
        <v>#REF!</v>
      </c>
      <c r="O25" s="170" t="e">
        <f t="shared" si="2"/>
        <v>#REF!</v>
      </c>
      <c r="P25" s="172" t="e">
        <f t="shared" si="7"/>
        <v>#REF!</v>
      </c>
      <c r="Q25" s="172" t="e">
        <f t="shared" si="6"/>
        <v>#REF!</v>
      </c>
      <c r="R25" s="173" t="e">
        <f t="shared" si="8"/>
        <v>#REF!</v>
      </c>
      <c r="S25" s="172" t="e">
        <f t="shared" si="9"/>
        <v>#REF!</v>
      </c>
      <c r="T25" s="172" t="e">
        <f t="shared" si="10"/>
        <v>#REF!</v>
      </c>
    </row>
    <row r="26" spans="1:20" ht="16.5" customHeight="1" x14ac:dyDescent="0.3">
      <c r="A26" s="65">
        <v>2</v>
      </c>
      <c r="B26" s="66" t="s">
        <v>25</v>
      </c>
      <c r="D26" s="179">
        <f>VLOOKUP(B26,'WF Need'!$B$7:$AB$64,27, FALSE)</f>
        <v>18447611.295639034</v>
      </c>
      <c r="E26" s="92">
        <f t="shared" si="3"/>
        <v>5.054906375455203E-3</v>
      </c>
      <c r="F26" s="8" t="e">
        <f>#REF!</f>
        <v>#REF!</v>
      </c>
      <c r="H26" s="185" t="e">
        <f>IF(F26&lt;Floors!$E$4,Floors!$E$4, "-")</f>
        <v>#REF!</v>
      </c>
      <c r="I26" s="65" t="e">
        <f t="shared" si="4"/>
        <v>#REF!</v>
      </c>
      <c r="J26" s="182" t="e">
        <f>IF(I26="Y",VLOOKUP(B26,#REF!,2,FALSE)*1.1,"N/A ")</f>
        <v>#REF!</v>
      </c>
      <c r="K26" s="182" t="e">
        <f t="shared" si="0"/>
        <v>#REF!</v>
      </c>
      <c r="M26" s="182" t="e">
        <f t="shared" si="5"/>
        <v>#REF!</v>
      </c>
      <c r="N26" s="172" t="e">
        <f t="shared" si="1"/>
        <v>#REF!</v>
      </c>
      <c r="O26" s="170" t="e">
        <f t="shared" si="2"/>
        <v>#REF!</v>
      </c>
      <c r="P26" s="172" t="e">
        <f t="shared" si="7"/>
        <v>#REF!</v>
      </c>
      <c r="Q26" s="172" t="e">
        <f t="shared" si="6"/>
        <v>#REF!</v>
      </c>
      <c r="R26" s="173" t="e">
        <f t="shared" si="8"/>
        <v>#REF!</v>
      </c>
      <c r="S26" s="172" t="e">
        <f t="shared" si="9"/>
        <v>#REF!</v>
      </c>
      <c r="T26" s="172" t="e">
        <f t="shared" si="10"/>
        <v>#REF!</v>
      </c>
    </row>
    <row r="27" spans="1:20" ht="16.5" customHeight="1" x14ac:dyDescent="0.3">
      <c r="A27" s="65">
        <v>2</v>
      </c>
      <c r="B27" s="66" t="s">
        <v>26</v>
      </c>
      <c r="D27" s="179">
        <f>VLOOKUP(B27,'WF Need'!$B$7:$AB$64,27, FALSE)</f>
        <v>18024735.060911097</v>
      </c>
      <c r="E27" s="92">
        <f t="shared" si="3"/>
        <v>4.9390323069539842E-3</v>
      </c>
      <c r="F27" s="8" t="e">
        <f>#REF!</f>
        <v>#REF!</v>
      </c>
      <c r="H27" s="185" t="e">
        <f>IF(F27&lt;Floors!$E$4,Floors!$E$4, "-")</f>
        <v>#REF!</v>
      </c>
      <c r="I27" s="65" t="e">
        <f t="shared" si="4"/>
        <v>#REF!</v>
      </c>
      <c r="J27" s="182" t="e">
        <f>IF(I27="Y",VLOOKUP(B27,#REF!,2,FALSE)*1.1,"N/A ")</f>
        <v>#REF!</v>
      </c>
      <c r="K27" s="182" t="e">
        <f t="shared" si="0"/>
        <v>#REF!</v>
      </c>
      <c r="M27" s="182" t="e">
        <f t="shared" si="5"/>
        <v>#REF!</v>
      </c>
      <c r="N27" s="172" t="e">
        <f t="shared" si="1"/>
        <v>#REF!</v>
      </c>
      <c r="O27" s="170" t="e">
        <f t="shared" si="2"/>
        <v>#REF!</v>
      </c>
      <c r="P27" s="172" t="e">
        <f t="shared" si="7"/>
        <v>#REF!</v>
      </c>
      <c r="Q27" s="172" t="e">
        <f t="shared" si="6"/>
        <v>#REF!</v>
      </c>
      <c r="R27" s="173" t="e">
        <f t="shared" si="8"/>
        <v>#REF!</v>
      </c>
      <c r="S27" s="172" t="e">
        <f t="shared" si="9"/>
        <v>#REF!</v>
      </c>
      <c r="T27" s="172" t="e">
        <f t="shared" si="10"/>
        <v>#REF!</v>
      </c>
    </row>
    <row r="28" spans="1:20" ht="16.5" customHeight="1" x14ac:dyDescent="0.3">
      <c r="A28" s="65">
        <v>1</v>
      </c>
      <c r="B28" s="66" t="s">
        <v>12</v>
      </c>
      <c r="D28" s="179">
        <f>VLOOKUP(B28,'WF Need'!$B$7:$AB$64,27, FALSE)</f>
        <v>2254400.669095784</v>
      </c>
      <c r="E28" s="92">
        <f t="shared" si="3"/>
        <v>6.1773766437374399E-4</v>
      </c>
      <c r="F28" s="8" t="e">
        <f>#REF!</f>
        <v>#REF!</v>
      </c>
      <c r="H28" s="185" t="e">
        <f>IF(F28&lt;Floors!$E$4,Floors!$E$4, "-")</f>
        <v>#REF!</v>
      </c>
      <c r="I28" s="65" t="e">
        <f t="shared" si="4"/>
        <v>#REF!</v>
      </c>
      <c r="J28" s="182" t="e">
        <f>IF(I28="Y",VLOOKUP(B28,#REF!,2,FALSE)*1.1,"N/A ")</f>
        <v>#REF!</v>
      </c>
      <c r="K28" s="182" t="e">
        <f t="shared" si="0"/>
        <v>#REF!</v>
      </c>
      <c r="M28" s="183" t="e">
        <f t="shared" si="5"/>
        <v>#REF!</v>
      </c>
      <c r="N28" s="172" t="e">
        <f t="shared" si="1"/>
        <v>#REF!</v>
      </c>
      <c r="O28" s="172" t="e">
        <f t="shared" si="2"/>
        <v>#REF!</v>
      </c>
      <c r="P28" s="172" t="e">
        <f>IF(M28="n/a",(IF(AND(H28=750000,(F28&gt;750000)), H28-F28, 0)),M28-F28)</f>
        <v>#REF!</v>
      </c>
      <c r="Q28" s="172" t="e">
        <f t="shared" si="6"/>
        <v>#REF!</v>
      </c>
      <c r="R28" s="173" t="e">
        <f t="shared" si="8"/>
        <v>#REF!</v>
      </c>
      <c r="S28" s="172" t="e">
        <f t="shared" si="9"/>
        <v>#REF!</v>
      </c>
      <c r="T28" s="172" t="e">
        <f t="shared" si="10"/>
        <v>#REF!</v>
      </c>
    </row>
    <row r="29" spans="1:20" ht="16.5" customHeight="1" x14ac:dyDescent="0.3">
      <c r="A29" s="65">
        <v>2</v>
      </c>
      <c r="B29" s="66" t="s">
        <v>27</v>
      </c>
      <c r="D29" s="179">
        <f>VLOOKUP(B29,'WF Need'!$B$7:$AB$64,27, FALSE)</f>
        <v>9805462.5228774976</v>
      </c>
      <c r="E29" s="92">
        <f t="shared" si="3"/>
        <v>2.6868353971062761E-3</v>
      </c>
      <c r="F29" s="8" t="e">
        <f>#REF!</f>
        <v>#REF!</v>
      </c>
      <c r="H29" s="185" t="e">
        <f>IF(F29&lt;Floors!$E$4,Floors!$E$4, "-")</f>
        <v>#REF!</v>
      </c>
      <c r="I29" s="65" t="e">
        <f t="shared" si="4"/>
        <v>#REF!</v>
      </c>
      <c r="J29" s="182" t="e">
        <f>IF(I29="Y",VLOOKUP(B29,#REF!,2,FALSE)*1.1,"N/A ")</f>
        <v>#REF!</v>
      </c>
      <c r="K29" s="182" t="e">
        <f t="shared" si="0"/>
        <v>#REF!</v>
      </c>
      <c r="M29" s="182" t="e">
        <f t="shared" si="5"/>
        <v>#REF!</v>
      </c>
      <c r="N29" s="172" t="e">
        <f t="shared" si="1"/>
        <v>#REF!</v>
      </c>
      <c r="O29" s="170" t="e">
        <f t="shared" si="2"/>
        <v>#REF!</v>
      </c>
      <c r="P29" s="172" t="e">
        <f>IF(M29="n/a",(IF(AND(H29=750000,(F29&gt;750000)), H29-F29, 0)),M29-F29)</f>
        <v>#REF!</v>
      </c>
      <c r="Q29" s="172" t="e">
        <f t="shared" si="6"/>
        <v>#REF!</v>
      </c>
      <c r="R29" s="173" t="e">
        <f t="shared" si="8"/>
        <v>#REF!</v>
      </c>
      <c r="S29" s="172" t="e">
        <f t="shared" si="9"/>
        <v>#REF!</v>
      </c>
      <c r="T29" s="172" t="e">
        <f t="shared" si="10"/>
        <v>#REF!</v>
      </c>
    </row>
    <row r="30" spans="1:20" ht="16.5" customHeight="1" x14ac:dyDescent="0.3">
      <c r="A30" s="65">
        <v>2</v>
      </c>
      <c r="B30" s="66" t="s">
        <v>28</v>
      </c>
      <c r="D30" s="179">
        <f>VLOOKUP(B30,'WF Need'!$B$7:$AB$64,27, FALSE)</f>
        <v>24306766.053813498</v>
      </c>
      <c r="E30" s="92">
        <f t="shared" si="3"/>
        <v>6.6603976375611152E-3</v>
      </c>
      <c r="F30" s="8" t="e">
        <f>#REF!</f>
        <v>#REF!</v>
      </c>
      <c r="H30" s="185" t="e">
        <f>IF(F30&lt;Floors!$E$4,Floors!$E$4, "-")</f>
        <v>#REF!</v>
      </c>
      <c r="I30" s="65" t="e">
        <f t="shared" si="4"/>
        <v>#REF!</v>
      </c>
      <c r="J30" s="182" t="e">
        <f>IF(I30="Y",VLOOKUP(B30,#REF!,2,FALSE)*1.1,"N/A ")</f>
        <v>#REF!</v>
      </c>
      <c r="K30" s="182" t="e">
        <f t="shared" si="0"/>
        <v>#REF!</v>
      </c>
      <c r="M30" s="182" t="e">
        <f t="shared" si="5"/>
        <v>#REF!</v>
      </c>
      <c r="N30" s="172" t="e">
        <f t="shared" si="1"/>
        <v>#REF!</v>
      </c>
      <c r="O30" s="170" t="e">
        <f t="shared" si="2"/>
        <v>#REF!</v>
      </c>
      <c r="P30" s="172" t="e">
        <f t="shared" ref="P30:P41" si="11">IF(M30="n/a",(IF(AND(H30=750000,(F30&gt;750000)), H30-F30, 0)),M30-F30)</f>
        <v>#REF!</v>
      </c>
      <c r="Q30" s="172" t="e">
        <f t="shared" si="6"/>
        <v>#REF!</v>
      </c>
      <c r="R30" s="173" t="e">
        <f t="shared" si="8"/>
        <v>#REF!</v>
      </c>
      <c r="S30" s="172" t="e">
        <f t="shared" si="9"/>
        <v>#REF!</v>
      </c>
      <c r="T30" s="172" t="e">
        <f t="shared" si="10"/>
        <v>#REF!</v>
      </c>
    </row>
    <row r="31" spans="1:20" ht="16.5" customHeight="1" x14ac:dyDescent="0.3">
      <c r="A31" s="65">
        <v>1</v>
      </c>
      <c r="B31" s="66" t="s">
        <v>13</v>
      </c>
      <c r="D31" s="179">
        <f>VLOOKUP(B31,'WF Need'!$B$7:$AB$64,27, FALSE)</f>
        <v>1894239.831295108</v>
      </c>
      <c r="E31" s="92">
        <f t="shared" si="3"/>
        <v>5.1904850153246577E-4</v>
      </c>
      <c r="F31" s="8" t="e">
        <f>#REF!</f>
        <v>#REF!</v>
      </c>
      <c r="H31" s="185" t="e">
        <f>IF(F31&lt;Floors!$E$4,Floors!$E$4, "-")</f>
        <v>#REF!</v>
      </c>
      <c r="I31" s="65" t="e">
        <f t="shared" si="4"/>
        <v>#REF!</v>
      </c>
      <c r="J31" s="182" t="e">
        <f>IF(I31="Y",VLOOKUP(B31,#REF!,2,FALSE)*1.1,"N/A ")</f>
        <v>#REF!</v>
      </c>
      <c r="K31" s="182" t="e">
        <f t="shared" si="0"/>
        <v>#REF!</v>
      </c>
      <c r="M31" s="182" t="e">
        <f t="shared" si="5"/>
        <v>#REF!</v>
      </c>
      <c r="N31" s="172" t="e">
        <f t="shared" si="1"/>
        <v>#REF!</v>
      </c>
      <c r="O31" s="172" t="e">
        <f t="shared" si="2"/>
        <v>#REF!</v>
      </c>
      <c r="P31" s="172" t="e">
        <f t="shared" si="11"/>
        <v>#REF!</v>
      </c>
      <c r="Q31" s="172" t="e">
        <f t="shared" si="6"/>
        <v>#REF!</v>
      </c>
      <c r="R31" s="173" t="e">
        <f t="shared" si="8"/>
        <v>#REF!</v>
      </c>
      <c r="S31" s="172" t="e">
        <f t="shared" si="9"/>
        <v>#REF!</v>
      </c>
      <c r="T31" s="172" t="e">
        <f t="shared" si="10"/>
        <v>#REF!</v>
      </c>
    </row>
    <row r="32" spans="1:20" ht="16.5" customHeight="1" x14ac:dyDescent="0.3">
      <c r="A32" s="65">
        <v>1</v>
      </c>
      <c r="B32" s="66" t="s">
        <v>14</v>
      </c>
      <c r="D32" s="179">
        <f>VLOOKUP(B32,'WF Need'!$B$7:$AB$64,27, FALSE)</f>
        <v>2218881.565229638</v>
      </c>
      <c r="E32" s="92">
        <f t="shared" si="3"/>
        <v>6.0800492761416797E-4</v>
      </c>
      <c r="F32" s="8" t="e">
        <f>#REF!</f>
        <v>#REF!</v>
      </c>
      <c r="H32" s="185" t="e">
        <f>IF(F32&lt;Floors!$E$4,Floors!$E$4, "-")</f>
        <v>#REF!</v>
      </c>
      <c r="I32" s="65" t="e">
        <f t="shared" si="4"/>
        <v>#REF!</v>
      </c>
      <c r="J32" s="182" t="e">
        <f>IF(I32="Y",VLOOKUP(B32,#REF!,2,FALSE)*1.1,"N/A ")</f>
        <v>#REF!</v>
      </c>
      <c r="K32" s="182" t="e">
        <f t="shared" si="0"/>
        <v>#REF!</v>
      </c>
      <c r="M32" s="183" t="e">
        <f t="shared" si="5"/>
        <v>#REF!</v>
      </c>
      <c r="N32" s="172" t="e">
        <f t="shared" si="1"/>
        <v>#REF!</v>
      </c>
      <c r="O32" s="172" t="e">
        <f t="shared" si="2"/>
        <v>#REF!</v>
      </c>
      <c r="P32" s="172" t="e">
        <f t="shared" si="11"/>
        <v>#REF!</v>
      </c>
      <c r="Q32" s="172" t="e">
        <f t="shared" si="6"/>
        <v>#REF!</v>
      </c>
      <c r="R32" s="173" t="e">
        <f t="shared" si="8"/>
        <v>#REF!</v>
      </c>
      <c r="S32" s="172" t="e">
        <f t="shared" si="9"/>
        <v>#REF!</v>
      </c>
      <c r="T32" s="172" t="e">
        <f t="shared" si="10"/>
        <v>#REF!</v>
      </c>
    </row>
    <row r="33" spans="1:20" ht="16.5" customHeight="1" x14ac:dyDescent="0.3">
      <c r="A33" s="65">
        <v>3</v>
      </c>
      <c r="B33" s="66" t="s">
        <v>44</v>
      </c>
      <c r="D33" s="179">
        <f>VLOOKUP(B33,'WF Need'!$B$7:$AB$64,27, FALSE)</f>
        <v>36434047.3101063</v>
      </c>
      <c r="E33" s="92">
        <f t="shared" si="3"/>
        <v>9.9834442020702314E-3</v>
      </c>
      <c r="F33" s="8" t="e">
        <f>#REF!</f>
        <v>#REF!</v>
      </c>
      <c r="H33" s="185" t="e">
        <f>IF(F33&lt;Floors!$E$4,Floors!$E$4, "-")</f>
        <v>#REF!</v>
      </c>
      <c r="I33" s="65" t="e">
        <f t="shared" si="4"/>
        <v>#REF!</v>
      </c>
      <c r="J33" s="182" t="e">
        <f>IF(I33="Y",VLOOKUP(B33,#REF!,2,FALSE)*1.1,"N/A ")</f>
        <v>#REF!</v>
      </c>
      <c r="K33" s="182" t="e">
        <f t="shared" si="0"/>
        <v>#REF!</v>
      </c>
      <c r="M33" s="182" t="e">
        <f t="shared" si="5"/>
        <v>#REF!</v>
      </c>
      <c r="N33" s="172" t="e">
        <f t="shared" si="1"/>
        <v>#REF!</v>
      </c>
      <c r="O33" s="170" t="e">
        <f t="shared" si="2"/>
        <v>#REF!</v>
      </c>
      <c r="P33" s="172" t="e">
        <f t="shared" si="11"/>
        <v>#REF!</v>
      </c>
      <c r="Q33" s="172" t="e">
        <f t="shared" si="6"/>
        <v>#REF!</v>
      </c>
      <c r="R33" s="173" t="e">
        <f t="shared" si="8"/>
        <v>#REF!</v>
      </c>
      <c r="S33" s="172" t="e">
        <f t="shared" si="9"/>
        <v>#REF!</v>
      </c>
      <c r="T33" s="172" t="e">
        <f t="shared" si="10"/>
        <v>#REF!</v>
      </c>
    </row>
    <row r="34" spans="1:20" ht="16.5" customHeight="1" x14ac:dyDescent="0.3">
      <c r="A34" s="65">
        <v>2</v>
      </c>
      <c r="B34" s="66" t="s">
        <v>29</v>
      </c>
      <c r="D34" s="179">
        <f>VLOOKUP(B34,'WF Need'!$B$7:$AB$64,27, FALSE)</f>
        <v>13825740.179074569</v>
      </c>
      <c r="E34" s="92">
        <f t="shared" si="3"/>
        <v>3.7884483284354813E-3</v>
      </c>
      <c r="F34" s="8" t="e">
        <f>#REF!</f>
        <v>#REF!</v>
      </c>
      <c r="H34" s="185" t="e">
        <f>IF(F34&lt;Floors!$E$4,Floors!$E$4, "-")</f>
        <v>#REF!</v>
      </c>
      <c r="I34" s="65" t="e">
        <f t="shared" si="4"/>
        <v>#REF!</v>
      </c>
      <c r="J34" s="182" t="e">
        <f>IF(I34="Y",VLOOKUP(B34,#REF!,2,FALSE)*1.1,"N/A ")</f>
        <v>#REF!</v>
      </c>
      <c r="K34" s="182" t="e">
        <f t="shared" si="0"/>
        <v>#REF!</v>
      </c>
      <c r="M34" s="182" t="e">
        <f t="shared" si="5"/>
        <v>#REF!</v>
      </c>
      <c r="N34" s="172" t="e">
        <f t="shared" si="1"/>
        <v>#REF!</v>
      </c>
      <c r="O34" s="170" t="e">
        <f t="shared" si="2"/>
        <v>#REF!</v>
      </c>
      <c r="P34" s="172" t="e">
        <f t="shared" si="11"/>
        <v>#REF!</v>
      </c>
      <c r="Q34" s="172" t="e">
        <f t="shared" si="6"/>
        <v>#REF!</v>
      </c>
      <c r="R34" s="173" t="e">
        <f t="shared" si="8"/>
        <v>#REF!</v>
      </c>
      <c r="S34" s="172" t="e">
        <f t="shared" si="9"/>
        <v>#REF!</v>
      </c>
      <c r="T34" s="172" t="e">
        <f t="shared" si="10"/>
        <v>#REF!</v>
      </c>
    </row>
    <row r="35" spans="1:20" ht="16.5" customHeight="1" x14ac:dyDescent="0.3">
      <c r="A35" s="65">
        <v>2</v>
      </c>
      <c r="B35" s="66" t="s">
        <v>30</v>
      </c>
      <c r="D35" s="179">
        <f>VLOOKUP(B35,'WF Need'!$B$7:$AB$64,27, FALSE)</f>
        <v>9579164.5798364561</v>
      </c>
      <c r="E35" s="92">
        <f t="shared" si="3"/>
        <v>2.62482656047706E-3</v>
      </c>
      <c r="F35" s="8" t="e">
        <f>#REF!</f>
        <v>#REF!</v>
      </c>
      <c r="H35" s="185" t="e">
        <f>IF(F35&lt;Floors!$E$4,Floors!$E$4, "-")</f>
        <v>#REF!</v>
      </c>
      <c r="I35" s="65" t="e">
        <f t="shared" si="4"/>
        <v>#REF!</v>
      </c>
      <c r="J35" s="182" t="e">
        <f>IF(I35="Y",VLOOKUP(B35,#REF!,2,FALSE)*1.1,"N/A ")</f>
        <v>#REF!</v>
      </c>
      <c r="K35" s="182" t="e">
        <f t="shared" si="0"/>
        <v>#REF!</v>
      </c>
      <c r="M35" s="182" t="e">
        <f t="shared" si="5"/>
        <v>#REF!</v>
      </c>
      <c r="N35" s="172" t="e">
        <f t="shared" si="1"/>
        <v>#REF!</v>
      </c>
      <c r="O35" s="170" t="e">
        <f t="shared" si="2"/>
        <v>#REF!</v>
      </c>
      <c r="P35" s="172" t="e">
        <f t="shared" si="11"/>
        <v>#REF!</v>
      </c>
      <c r="Q35" s="172" t="e">
        <f t="shared" si="6"/>
        <v>#REF!</v>
      </c>
      <c r="R35" s="173" t="e">
        <f t="shared" si="8"/>
        <v>#REF!</v>
      </c>
      <c r="S35" s="172" t="e">
        <f t="shared" si="9"/>
        <v>#REF!</v>
      </c>
      <c r="T35" s="172" t="e">
        <f t="shared" si="10"/>
        <v>#REF!</v>
      </c>
    </row>
    <row r="36" spans="1:20" ht="16.5" customHeight="1" x14ac:dyDescent="0.3">
      <c r="A36" s="65">
        <v>4</v>
      </c>
      <c r="B36" s="66" t="s">
        <v>55</v>
      </c>
      <c r="D36" s="179">
        <f>VLOOKUP(B36,'WF Need'!$B$7:$AB$64,27, FALSE)</f>
        <v>279867274.65925497</v>
      </c>
      <c r="E36" s="92">
        <f t="shared" si="3"/>
        <v>7.6687591053632639E-2</v>
      </c>
      <c r="F36" s="8" t="e">
        <f>#REF!</f>
        <v>#REF!</v>
      </c>
      <c r="H36" s="185" t="e">
        <f>IF(F36&lt;Floors!$E$4,Floors!$E$4, "-")</f>
        <v>#REF!</v>
      </c>
      <c r="I36" s="65" t="e">
        <f t="shared" si="4"/>
        <v>#REF!</v>
      </c>
      <c r="J36" s="182" t="e">
        <f>IF(I36="Y",VLOOKUP(B36,#REF!,2,FALSE)*1.1,"N/A ")</f>
        <v>#REF!</v>
      </c>
      <c r="K36" s="182" t="e">
        <f t="shared" si="0"/>
        <v>#REF!</v>
      </c>
      <c r="M36" s="182" t="e">
        <f t="shared" si="5"/>
        <v>#REF!</v>
      </c>
      <c r="N36" s="172" t="e">
        <f t="shared" si="1"/>
        <v>#REF!</v>
      </c>
      <c r="O36" s="170" t="e">
        <f t="shared" si="2"/>
        <v>#REF!</v>
      </c>
      <c r="P36" s="172" t="e">
        <f t="shared" si="11"/>
        <v>#REF!</v>
      </c>
      <c r="Q36" s="172" t="e">
        <f t="shared" si="6"/>
        <v>#REF!</v>
      </c>
      <c r="R36" s="173" t="e">
        <f t="shared" si="8"/>
        <v>#REF!</v>
      </c>
      <c r="S36" s="172" t="e">
        <f t="shared" si="9"/>
        <v>#REF!</v>
      </c>
      <c r="T36" s="172" t="e">
        <f t="shared" si="10"/>
        <v>#REF!</v>
      </c>
    </row>
    <row r="37" spans="1:20" ht="16.5" customHeight="1" x14ac:dyDescent="0.3">
      <c r="A37" s="65">
        <v>2</v>
      </c>
      <c r="B37" s="66" t="s">
        <v>31</v>
      </c>
      <c r="D37" s="179">
        <f>VLOOKUP(B37,'WF Need'!$B$7:$AB$64,27, FALSE)</f>
        <v>39088851.180232517</v>
      </c>
      <c r="E37" s="92">
        <f t="shared" si="3"/>
        <v>1.0710898005905342E-2</v>
      </c>
      <c r="F37" s="8" t="e">
        <f>#REF!</f>
        <v>#REF!</v>
      </c>
      <c r="H37" s="185" t="e">
        <f>IF(F37&lt;Floors!$E$4,Floors!$E$4, "-")</f>
        <v>#REF!</v>
      </c>
      <c r="I37" s="65" t="e">
        <f t="shared" si="4"/>
        <v>#REF!</v>
      </c>
      <c r="J37" s="182" t="e">
        <f>IF(I37="Y",VLOOKUP(B37,#REF!,2,FALSE)*1.1,"N/A ")</f>
        <v>#REF!</v>
      </c>
      <c r="K37" s="182" t="e">
        <f t="shared" si="0"/>
        <v>#REF!</v>
      </c>
      <c r="M37" s="182" t="e">
        <f t="shared" si="5"/>
        <v>#REF!</v>
      </c>
      <c r="N37" s="172" t="e">
        <f t="shared" si="1"/>
        <v>#REF!</v>
      </c>
      <c r="O37" s="170" t="e">
        <f t="shared" si="2"/>
        <v>#REF!</v>
      </c>
      <c r="P37" s="172" t="e">
        <f t="shared" si="11"/>
        <v>#REF!</v>
      </c>
      <c r="Q37" s="172" t="e">
        <f t="shared" si="6"/>
        <v>#REF!</v>
      </c>
      <c r="R37" s="173" t="e">
        <f t="shared" si="8"/>
        <v>#REF!</v>
      </c>
      <c r="S37" s="172" t="e">
        <f t="shared" si="9"/>
        <v>#REF!</v>
      </c>
      <c r="T37" s="172" t="e">
        <f t="shared" si="10"/>
        <v>#REF!</v>
      </c>
    </row>
    <row r="38" spans="1:20" ht="16.5" customHeight="1" x14ac:dyDescent="0.3">
      <c r="A38" s="65">
        <v>1</v>
      </c>
      <c r="B38" s="66" t="s">
        <v>15</v>
      </c>
      <c r="D38" s="179">
        <f>VLOOKUP(B38,'WF Need'!$B$7:$AB$64,27, FALSE)</f>
        <v>2579639.9029143844</v>
      </c>
      <c r="E38" s="92">
        <f t="shared" si="3"/>
        <v>7.068578138733412E-4</v>
      </c>
      <c r="F38" s="8" t="e">
        <f>#REF!</f>
        <v>#REF!</v>
      </c>
      <c r="H38" s="185" t="e">
        <f>IF(F38&lt;Floors!$E$4,Floors!$E$4, "-")</f>
        <v>#REF!</v>
      </c>
      <c r="I38" s="65" t="e">
        <f t="shared" si="4"/>
        <v>#REF!</v>
      </c>
      <c r="J38" s="182" t="e">
        <f>IF(I38="Y",VLOOKUP(B38,#REF!,2,FALSE)*1.1,"N/A ")</f>
        <v>#REF!</v>
      </c>
      <c r="K38" s="182" t="e">
        <f t="shared" si="0"/>
        <v>#REF!</v>
      </c>
      <c r="M38" s="182" t="e">
        <f t="shared" si="5"/>
        <v>#REF!</v>
      </c>
      <c r="N38" s="172" t="e">
        <f t="shared" si="1"/>
        <v>#REF!</v>
      </c>
      <c r="O38" s="172" t="e">
        <f t="shared" si="2"/>
        <v>#REF!</v>
      </c>
      <c r="P38" s="172" t="e">
        <f t="shared" si="11"/>
        <v>#REF!</v>
      </c>
      <c r="Q38" s="172" t="e">
        <f t="shared" si="6"/>
        <v>#REF!</v>
      </c>
      <c r="R38" s="173" t="e">
        <f t="shared" si="8"/>
        <v>#REF!</v>
      </c>
      <c r="S38" s="172" t="e">
        <f t="shared" si="9"/>
        <v>#REF!</v>
      </c>
      <c r="T38" s="172" t="e">
        <f t="shared" si="10"/>
        <v>#REF!</v>
      </c>
    </row>
    <row r="39" spans="1:20" ht="16.5" customHeight="1" x14ac:dyDescent="0.3">
      <c r="A39" s="65">
        <v>4</v>
      </c>
      <c r="B39" s="66" t="s">
        <v>56</v>
      </c>
      <c r="D39" s="179">
        <f>VLOOKUP(B39,'WF Need'!$B$7:$AB$64,27, FALSE)</f>
        <v>223660817.80631655</v>
      </c>
      <c r="E39" s="92">
        <f t="shared" si="3"/>
        <v>6.1286227021486589E-2</v>
      </c>
      <c r="F39" s="8" t="e">
        <f>#REF!</f>
        <v>#REF!</v>
      </c>
      <c r="H39" s="185" t="e">
        <f>IF(F39&lt;Floors!$E$4,Floors!$E$4, "-")</f>
        <v>#REF!</v>
      </c>
      <c r="I39" s="65" t="e">
        <f t="shared" si="4"/>
        <v>#REF!</v>
      </c>
      <c r="J39" s="182" t="e">
        <f>IF(I39="Y",VLOOKUP(B39,#REF!,2,FALSE)*1.1,"N/A ")</f>
        <v>#REF!</v>
      </c>
      <c r="K39" s="182" t="e">
        <f t="shared" si="0"/>
        <v>#REF!</v>
      </c>
      <c r="M39" s="182" t="e">
        <f t="shared" si="5"/>
        <v>#REF!</v>
      </c>
      <c r="N39" s="172" t="e">
        <f t="shared" si="1"/>
        <v>#REF!</v>
      </c>
      <c r="O39" s="170" t="e">
        <f t="shared" si="2"/>
        <v>#REF!</v>
      </c>
      <c r="P39" s="172" t="e">
        <f t="shared" si="11"/>
        <v>#REF!</v>
      </c>
      <c r="Q39" s="172" t="e">
        <f t="shared" si="6"/>
        <v>#REF!</v>
      </c>
      <c r="R39" s="173" t="e">
        <f t="shared" si="8"/>
        <v>#REF!</v>
      </c>
      <c r="S39" s="172" t="e">
        <f t="shared" si="9"/>
        <v>#REF!</v>
      </c>
      <c r="T39" s="172" t="e">
        <f t="shared" si="10"/>
        <v>#REF!</v>
      </c>
    </row>
    <row r="40" spans="1:20" ht="16.5" customHeight="1" x14ac:dyDescent="0.3">
      <c r="A40" s="65">
        <v>4</v>
      </c>
      <c r="B40" s="66" t="s">
        <v>57</v>
      </c>
      <c r="D40" s="179">
        <f>VLOOKUP(B40,'WF Need'!$B$7:$AB$64,27, FALSE)</f>
        <v>169850671.38667926</v>
      </c>
      <c r="E40" s="92">
        <f t="shared" si="3"/>
        <v>4.6541485935950824E-2</v>
      </c>
      <c r="F40" s="8" t="e">
        <f>#REF!</f>
        <v>#REF!</v>
      </c>
      <c r="H40" s="185" t="e">
        <f>IF(F40&lt;Floors!$E$4,Floors!$E$4, "-")</f>
        <v>#REF!</v>
      </c>
      <c r="I40" s="65" t="e">
        <f t="shared" si="4"/>
        <v>#REF!</v>
      </c>
      <c r="J40" s="182" t="e">
        <f>IF(I40="Y",VLOOKUP(B40,#REF!,2,FALSE)*1.1,"N/A ")</f>
        <v>#REF!</v>
      </c>
      <c r="K40" s="182" t="e">
        <f t="shared" si="0"/>
        <v>#REF!</v>
      </c>
      <c r="M40" s="182" t="e">
        <f t="shared" si="5"/>
        <v>#REF!</v>
      </c>
      <c r="N40" s="172" t="e">
        <f t="shared" si="1"/>
        <v>#REF!</v>
      </c>
      <c r="O40" s="170" t="e">
        <f t="shared" si="2"/>
        <v>#REF!</v>
      </c>
      <c r="P40" s="172" t="e">
        <f t="shared" si="11"/>
        <v>#REF!</v>
      </c>
      <c r="Q40" s="172" t="e">
        <f t="shared" si="6"/>
        <v>#REF!</v>
      </c>
      <c r="R40" s="173" t="e">
        <f t="shared" si="8"/>
        <v>#REF!</v>
      </c>
      <c r="S40" s="172" t="e">
        <f t="shared" si="9"/>
        <v>#REF!</v>
      </c>
      <c r="T40" s="172" t="e">
        <f t="shared" si="10"/>
        <v>#REF!</v>
      </c>
    </row>
    <row r="41" spans="1:20" ht="16.5" customHeight="1" x14ac:dyDescent="0.3">
      <c r="A41" s="65">
        <v>1</v>
      </c>
      <c r="B41" s="66" t="s">
        <v>16</v>
      </c>
      <c r="D41" s="179">
        <f>VLOOKUP(B41,'WF Need'!$B$7:$AB$64,27, FALSE)</f>
        <v>6287477.2542394027</v>
      </c>
      <c r="E41" s="92">
        <f t="shared" si="3"/>
        <v>1.7228576832328236E-3</v>
      </c>
      <c r="F41" s="8" t="e">
        <f>#REF!</f>
        <v>#REF!</v>
      </c>
      <c r="H41" s="185" t="e">
        <f>IF(F41&lt;Floors!$E$4,Floors!$E$4, "-")</f>
        <v>#REF!</v>
      </c>
      <c r="I41" s="65" t="e">
        <f t="shared" si="4"/>
        <v>#REF!</v>
      </c>
      <c r="J41" s="182" t="e">
        <f>IF(I41="Y",VLOOKUP(B41,#REF!,2,FALSE)*1.1,"N/A ")</f>
        <v>#REF!</v>
      </c>
      <c r="K41" s="182" t="e">
        <f t="shared" si="0"/>
        <v>#REF!</v>
      </c>
      <c r="M41" s="182" t="e">
        <f t="shared" si="5"/>
        <v>#REF!</v>
      </c>
      <c r="N41" s="172" t="e">
        <f t="shared" si="1"/>
        <v>#REF!</v>
      </c>
      <c r="O41" s="170" t="e">
        <f t="shared" si="2"/>
        <v>#REF!</v>
      </c>
      <c r="P41" s="172" t="e">
        <f t="shared" si="11"/>
        <v>#REF!</v>
      </c>
      <c r="Q41" s="172" t="e">
        <f t="shared" si="6"/>
        <v>#REF!</v>
      </c>
      <c r="R41" s="173" t="e">
        <f t="shared" si="8"/>
        <v>#REF!</v>
      </c>
      <c r="S41" s="172" t="e">
        <f t="shared" si="9"/>
        <v>#REF!</v>
      </c>
      <c r="T41" s="172" t="e">
        <f t="shared" si="10"/>
        <v>#REF!</v>
      </c>
    </row>
    <row r="42" spans="1:20" ht="16.5" customHeight="1" x14ac:dyDescent="0.3">
      <c r="A42" s="65">
        <v>4</v>
      </c>
      <c r="B42" s="66" t="s">
        <v>58</v>
      </c>
      <c r="D42" s="179">
        <f>VLOOKUP(B42,'WF Need'!$B$7:$AB$64,27, FALSE)</f>
        <v>209264721.07994676</v>
      </c>
      <c r="E42" s="92">
        <f t="shared" si="3"/>
        <v>5.7341492933285193E-2</v>
      </c>
      <c r="F42" s="8" t="e">
        <f>#REF!</f>
        <v>#REF!</v>
      </c>
      <c r="H42" s="185" t="e">
        <f>IF(F42&lt;Floors!$E$4,Floors!$E$4, "-")</f>
        <v>#REF!</v>
      </c>
      <c r="I42" s="65" t="e">
        <f t="shared" si="4"/>
        <v>#REF!</v>
      </c>
      <c r="J42" s="182" t="e">
        <f>IF(I42="Y",VLOOKUP(B42,#REF!,2,FALSE)*1.1,"N/A ")</f>
        <v>#REF!</v>
      </c>
      <c r="K42" s="182" t="e">
        <f t="shared" si="0"/>
        <v>#REF!</v>
      </c>
      <c r="M42" s="182" t="e">
        <f t="shared" si="5"/>
        <v>#REF!</v>
      </c>
      <c r="N42" s="172" t="e">
        <f t="shared" si="1"/>
        <v>#REF!</v>
      </c>
      <c r="O42" s="170" t="e">
        <f t="shared" si="2"/>
        <v>#REF!</v>
      </c>
      <c r="P42" s="172" t="e">
        <f>IF(M42="n/a",(IF(AND(H42=750000,(F42&gt;750000)), H42-F42, 0)),M42-F42)</f>
        <v>#REF!</v>
      </c>
      <c r="Q42" s="172" t="e">
        <f t="shared" si="6"/>
        <v>#REF!</v>
      </c>
      <c r="R42" s="173" t="e">
        <f t="shared" si="8"/>
        <v>#REF!</v>
      </c>
      <c r="S42" s="172" t="e">
        <f t="shared" si="9"/>
        <v>#REF!</v>
      </c>
      <c r="T42" s="172" t="e">
        <f t="shared" si="10"/>
        <v>#REF!</v>
      </c>
    </row>
    <row r="43" spans="1:20" ht="16.5" customHeight="1" x14ac:dyDescent="0.3">
      <c r="A43" s="65">
        <v>4</v>
      </c>
      <c r="B43" s="66" t="s">
        <v>59</v>
      </c>
      <c r="D43" s="179">
        <f>VLOOKUP(B43,'WF Need'!$B$7:$AB$64,27, FALSE)</f>
        <v>258380899.82596904</v>
      </c>
      <c r="E43" s="92">
        <f t="shared" si="3"/>
        <v>7.0800020495602037E-2</v>
      </c>
      <c r="F43" s="8" t="e">
        <f>#REF!</f>
        <v>#REF!</v>
      </c>
      <c r="H43" s="185" t="e">
        <f>IF(F43&lt;Floors!$E$4,Floors!$E$4, "-")</f>
        <v>#REF!</v>
      </c>
      <c r="I43" s="65" t="e">
        <f t="shared" si="4"/>
        <v>#REF!</v>
      </c>
      <c r="J43" s="182" t="e">
        <f>IF(I43="Y",VLOOKUP(B43,#REF!,2,FALSE)*1.1,"N/A ")</f>
        <v>#REF!</v>
      </c>
      <c r="K43" s="182" t="e">
        <f t="shared" si="0"/>
        <v>#REF!</v>
      </c>
      <c r="M43" s="182" t="e">
        <f t="shared" si="5"/>
        <v>#REF!</v>
      </c>
      <c r="N43" s="172" t="e">
        <f t="shared" si="1"/>
        <v>#REF!</v>
      </c>
      <c r="O43" s="170" t="e">
        <f t="shared" si="2"/>
        <v>#REF!</v>
      </c>
      <c r="P43" s="172" t="e">
        <f>IF(M43="n/a",(IF(AND(H43=750000,(F43&gt;750000)), H43-F43, 0)),M43-F43)</f>
        <v>#REF!</v>
      </c>
      <c r="Q43" s="172" t="e">
        <f t="shared" si="6"/>
        <v>#REF!</v>
      </c>
      <c r="R43" s="173" t="e">
        <f t="shared" si="8"/>
        <v>#REF!</v>
      </c>
      <c r="S43" s="172" t="e">
        <f t="shared" si="9"/>
        <v>#REF!</v>
      </c>
      <c r="T43" s="172" t="e">
        <f t="shared" si="10"/>
        <v>#REF!</v>
      </c>
    </row>
    <row r="44" spans="1:20" ht="16.5" customHeight="1" x14ac:dyDescent="0.3">
      <c r="A44" s="65">
        <v>4</v>
      </c>
      <c r="B44" s="66" t="s">
        <v>60</v>
      </c>
      <c r="D44" s="179">
        <f>VLOOKUP(B44,'WF Need'!$B$7:$AB$64,27, FALSE)</f>
        <v>82617402.82939969</v>
      </c>
      <c r="E44" s="92">
        <f t="shared" si="3"/>
        <v>2.263833672517852E-2</v>
      </c>
      <c r="F44" s="8" t="e">
        <f>#REF!</f>
        <v>#REF!</v>
      </c>
      <c r="H44" s="185" t="e">
        <f>IF(F44&lt;Floors!$E$4,Floors!$E$4, "-")</f>
        <v>#REF!</v>
      </c>
      <c r="I44" s="65" t="e">
        <f t="shared" si="4"/>
        <v>#REF!</v>
      </c>
      <c r="J44" s="182" t="e">
        <f>IF(I44="Y",VLOOKUP(B44,#REF!,2,FALSE)*1.1,"N/A ")</f>
        <v>#REF!</v>
      </c>
      <c r="K44" s="182" t="e">
        <f t="shared" si="0"/>
        <v>#REF!</v>
      </c>
      <c r="M44" s="182" t="e">
        <f t="shared" si="5"/>
        <v>#REF!</v>
      </c>
      <c r="N44" s="172" t="e">
        <f t="shared" si="1"/>
        <v>#REF!</v>
      </c>
      <c r="O44" s="170" t="e">
        <f t="shared" si="2"/>
        <v>#REF!</v>
      </c>
      <c r="P44" s="172" t="e">
        <f t="shared" ref="P44:P54" si="12">IF(M44="n/a",(IF(AND(H44=750000,(F44&gt;750000)), H44-F44, 0)),M44-F44)</f>
        <v>#REF!</v>
      </c>
      <c r="Q44" s="172" t="e">
        <f t="shared" si="6"/>
        <v>#REF!</v>
      </c>
      <c r="R44" s="173" t="e">
        <f t="shared" si="8"/>
        <v>#REF!</v>
      </c>
      <c r="S44" s="172" t="e">
        <f t="shared" si="9"/>
        <v>#REF!</v>
      </c>
      <c r="T44" s="172" t="e">
        <f t="shared" si="10"/>
        <v>#REF!</v>
      </c>
    </row>
    <row r="45" spans="1:20" ht="16.5" customHeight="1" x14ac:dyDescent="0.3">
      <c r="A45" s="65">
        <v>3</v>
      </c>
      <c r="B45" s="66" t="s">
        <v>45</v>
      </c>
      <c r="D45" s="179">
        <f>VLOOKUP(B45,'WF Need'!$B$7:$AB$64,27, FALSE)</f>
        <v>74891152.575153604</v>
      </c>
      <c r="E45" s="92">
        <f t="shared" si="3"/>
        <v>2.0521234893258224E-2</v>
      </c>
      <c r="F45" s="8" t="e">
        <f>#REF!</f>
        <v>#REF!</v>
      </c>
      <c r="H45" s="185" t="e">
        <f>IF(F45&lt;Floors!$E$4,Floors!$E$4, "-")</f>
        <v>#REF!</v>
      </c>
      <c r="I45" s="65" t="e">
        <f t="shared" si="4"/>
        <v>#REF!</v>
      </c>
      <c r="J45" s="182" t="e">
        <f>IF(I45="Y",VLOOKUP(B45,#REF!,2,FALSE)*1.1,"N/A ")</f>
        <v>#REF!</v>
      </c>
      <c r="K45" s="182" t="e">
        <f t="shared" si="0"/>
        <v>#REF!</v>
      </c>
      <c r="M45" s="182" t="e">
        <f t="shared" si="5"/>
        <v>#REF!</v>
      </c>
      <c r="N45" s="172" t="e">
        <f t="shared" si="1"/>
        <v>#REF!</v>
      </c>
      <c r="O45" s="170" t="e">
        <f t="shared" si="2"/>
        <v>#REF!</v>
      </c>
      <c r="P45" s="172" t="e">
        <f t="shared" si="12"/>
        <v>#REF!</v>
      </c>
      <c r="Q45" s="172" t="e">
        <f t="shared" si="6"/>
        <v>#REF!</v>
      </c>
      <c r="R45" s="173" t="e">
        <f t="shared" si="8"/>
        <v>#REF!</v>
      </c>
      <c r="S45" s="172" t="e">
        <f t="shared" si="9"/>
        <v>#REF!</v>
      </c>
      <c r="T45" s="172" t="e">
        <f t="shared" si="10"/>
        <v>#REF!</v>
      </c>
    </row>
    <row r="46" spans="1:20" ht="16.5" customHeight="1" x14ac:dyDescent="0.3">
      <c r="A46" s="65">
        <v>2</v>
      </c>
      <c r="B46" s="66" t="s">
        <v>32</v>
      </c>
      <c r="D46" s="179">
        <f>VLOOKUP(B46,'WF Need'!$B$7:$AB$64,27, FALSE)</f>
        <v>26418365.314186532</v>
      </c>
      <c r="E46" s="92">
        <f t="shared" si="3"/>
        <v>7.2390056964911857E-3</v>
      </c>
      <c r="F46" s="8" t="e">
        <f>#REF!</f>
        <v>#REF!</v>
      </c>
      <c r="H46" s="185" t="e">
        <f>IF(F46&lt;Floors!$E$4,Floors!$E$4, "-")</f>
        <v>#REF!</v>
      </c>
      <c r="I46" s="65" t="e">
        <f t="shared" si="4"/>
        <v>#REF!</v>
      </c>
      <c r="J46" s="182" t="e">
        <f>IF(I46="Y",VLOOKUP(B46,#REF!,2,FALSE)*1.1,"N/A ")</f>
        <v>#REF!</v>
      </c>
      <c r="K46" s="182" t="e">
        <f t="shared" si="0"/>
        <v>#REF!</v>
      </c>
      <c r="M46" s="182" t="e">
        <f t="shared" si="5"/>
        <v>#REF!</v>
      </c>
      <c r="N46" s="172" t="e">
        <f t="shared" si="1"/>
        <v>#REF!</v>
      </c>
      <c r="O46" s="170" t="e">
        <f t="shared" si="2"/>
        <v>#REF!</v>
      </c>
      <c r="P46" s="172" t="e">
        <f t="shared" si="12"/>
        <v>#REF!</v>
      </c>
      <c r="Q46" s="172" t="e">
        <f t="shared" si="6"/>
        <v>#REF!</v>
      </c>
      <c r="R46" s="173" t="e">
        <f t="shared" si="8"/>
        <v>#REF!</v>
      </c>
      <c r="S46" s="172" t="e">
        <f t="shared" si="9"/>
        <v>#REF!</v>
      </c>
      <c r="T46" s="172" t="e">
        <f t="shared" si="10"/>
        <v>#REF!</v>
      </c>
    </row>
    <row r="47" spans="1:20" ht="16.5" customHeight="1" x14ac:dyDescent="0.3">
      <c r="A47" s="65">
        <v>3</v>
      </c>
      <c r="B47" s="66" t="s">
        <v>46</v>
      </c>
      <c r="D47" s="179">
        <f>VLOOKUP(B47,'WF Need'!$B$7:$AB$64,27, FALSE)</f>
        <v>67304875.032260567</v>
      </c>
      <c r="E47" s="92">
        <f t="shared" si="3"/>
        <v>1.8442487563699737E-2</v>
      </c>
      <c r="F47" s="8" t="e">
        <f>#REF!</f>
        <v>#REF!</v>
      </c>
      <c r="H47" s="185" t="e">
        <f>IF(F47&lt;Floors!$E$4,Floors!$E$4, "-")</f>
        <v>#REF!</v>
      </c>
      <c r="I47" s="65" t="e">
        <f t="shared" si="4"/>
        <v>#REF!</v>
      </c>
      <c r="J47" s="182" t="e">
        <f>IF(I47="Y",VLOOKUP(B47,#REF!,2,FALSE)*1.1,"N/A ")</f>
        <v>#REF!</v>
      </c>
      <c r="K47" s="182" t="e">
        <f t="shared" si="0"/>
        <v>#REF!</v>
      </c>
      <c r="M47" s="182" t="e">
        <f t="shared" si="5"/>
        <v>#REF!</v>
      </c>
      <c r="N47" s="172" t="e">
        <f t="shared" si="1"/>
        <v>#REF!</v>
      </c>
      <c r="O47" s="170" t="e">
        <f t="shared" si="2"/>
        <v>#REF!</v>
      </c>
      <c r="P47" s="172" t="e">
        <f t="shared" si="12"/>
        <v>#REF!</v>
      </c>
      <c r="Q47" s="172" t="e">
        <f t="shared" si="6"/>
        <v>#REF!</v>
      </c>
      <c r="R47" s="173" t="e">
        <f t="shared" si="8"/>
        <v>#REF!</v>
      </c>
      <c r="S47" s="172" t="e">
        <f t="shared" si="9"/>
        <v>#REF!</v>
      </c>
      <c r="T47" s="172" t="e">
        <f t="shared" si="10"/>
        <v>#REF!</v>
      </c>
    </row>
    <row r="48" spans="1:20" ht="16.5" customHeight="1" x14ac:dyDescent="0.3">
      <c r="A48" s="65">
        <v>3</v>
      </c>
      <c r="B48" s="66" t="s">
        <v>47</v>
      </c>
      <c r="D48" s="179">
        <f>VLOOKUP(B48,'WF Need'!$B$7:$AB$64,27, FALSE)</f>
        <v>40641625.75357534</v>
      </c>
      <c r="E48" s="92">
        <f t="shared" si="3"/>
        <v>1.1136380197862134E-2</v>
      </c>
      <c r="F48" s="8" t="e">
        <f>#REF!</f>
        <v>#REF!</v>
      </c>
      <c r="H48" s="185" t="e">
        <f>IF(F48&lt;Floors!$E$4,Floors!$E$4, "-")</f>
        <v>#REF!</v>
      </c>
      <c r="I48" s="65" t="e">
        <f t="shared" si="4"/>
        <v>#REF!</v>
      </c>
      <c r="J48" s="182" t="e">
        <f>IF(I48="Y",VLOOKUP(B48,#REF!,2,FALSE)*1.1,"N/A ")</f>
        <v>#REF!</v>
      </c>
      <c r="K48" s="182" t="e">
        <f t="shared" si="0"/>
        <v>#REF!</v>
      </c>
      <c r="M48" s="182" t="e">
        <f t="shared" si="5"/>
        <v>#REF!</v>
      </c>
      <c r="N48" s="172" t="e">
        <f t="shared" si="1"/>
        <v>#REF!</v>
      </c>
      <c r="O48" s="170" t="e">
        <f t="shared" si="2"/>
        <v>#REF!</v>
      </c>
      <c r="P48" s="172" t="e">
        <f t="shared" si="12"/>
        <v>#REF!</v>
      </c>
      <c r="Q48" s="172" t="e">
        <f t="shared" si="6"/>
        <v>#REF!</v>
      </c>
      <c r="R48" s="173" t="e">
        <f t="shared" si="8"/>
        <v>#REF!</v>
      </c>
      <c r="S48" s="172" t="e">
        <f t="shared" si="9"/>
        <v>#REF!</v>
      </c>
      <c r="T48" s="172" t="e">
        <f t="shared" si="10"/>
        <v>#REF!</v>
      </c>
    </row>
    <row r="49" spans="1:20" ht="16.5" customHeight="1" x14ac:dyDescent="0.3">
      <c r="A49" s="65">
        <v>4</v>
      </c>
      <c r="B49" s="66" t="s">
        <v>61</v>
      </c>
      <c r="D49" s="179">
        <f>VLOOKUP(B49,'WF Need'!$B$7:$AB$64,27, FALSE)</f>
        <v>140134017.7368589</v>
      </c>
      <c r="E49" s="92">
        <f t="shared" si="3"/>
        <v>3.839870259211587E-2</v>
      </c>
      <c r="F49" s="8" t="e">
        <f>#REF!</f>
        <v>#REF!</v>
      </c>
      <c r="H49" s="185" t="e">
        <f>IF(F49&lt;Floors!$E$4,Floors!$E$4, "-")</f>
        <v>#REF!</v>
      </c>
      <c r="I49" s="65" t="e">
        <f t="shared" si="4"/>
        <v>#REF!</v>
      </c>
      <c r="J49" s="182" t="e">
        <f>IF(I49="Y",VLOOKUP(B49,#REF!,2,FALSE)*1.1,"N/A ")</f>
        <v>#REF!</v>
      </c>
      <c r="K49" s="182" t="e">
        <f t="shared" si="0"/>
        <v>#REF!</v>
      </c>
      <c r="M49" s="182" t="e">
        <f t="shared" si="5"/>
        <v>#REF!</v>
      </c>
      <c r="N49" s="172" t="e">
        <f t="shared" si="1"/>
        <v>#REF!</v>
      </c>
      <c r="O49" s="170" t="e">
        <f t="shared" si="2"/>
        <v>#REF!</v>
      </c>
      <c r="P49" s="172" t="e">
        <f t="shared" si="12"/>
        <v>#REF!</v>
      </c>
      <c r="Q49" s="172" t="e">
        <f t="shared" si="6"/>
        <v>#REF!</v>
      </c>
      <c r="R49" s="173" t="e">
        <f t="shared" si="8"/>
        <v>#REF!</v>
      </c>
      <c r="S49" s="172" t="e">
        <f t="shared" si="9"/>
        <v>#REF!</v>
      </c>
      <c r="T49" s="172" t="e">
        <f t="shared" si="10"/>
        <v>#REF!</v>
      </c>
    </row>
    <row r="50" spans="1:20" ht="16.5" customHeight="1" x14ac:dyDescent="0.3">
      <c r="A50" s="65">
        <v>2</v>
      </c>
      <c r="B50" s="66" t="s">
        <v>33</v>
      </c>
      <c r="D50" s="179">
        <f>VLOOKUP(B50,'WF Need'!$B$7:$AB$64,27, FALSE)</f>
        <v>22598685.32654503</v>
      </c>
      <c r="E50" s="92">
        <f t="shared" si="3"/>
        <v>6.192359363136792E-3</v>
      </c>
      <c r="F50" s="8" t="e">
        <f>#REF!</f>
        <v>#REF!</v>
      </c>
      <c r="H50" s="185" t="e">
        <f>IF(F50&lt;Floors!$E$4,Floors!$E$4, "-")</f>
        <v>#REF!</v>
      </c>
      <c r="I50" s="65" t="e">
        <f t="shared" si="4"/>
        <v>#REF!</v>
      </c>
      <c r="J50" s="182" t="e">
        <f>IF(I50="Y",VLOOKUP(B50,#REF!,2,FALSE)*1.1,"N/A ")</f>
        <v>#REF!</v>
      </c>
      <c r="K50" s="182" t="e">
        <f t="shared" si="0"/>
        <v>#REF!</v>
      </c>
      <c r="M50" s="182" t="e">
        <f t="shared" si="5"/>
        <v>#REF!</v>
      </c>
      <c r="N50" s="172" t="e">
        <f t="shared" si="1"/>
        <v>#REF!</v>
      </c>
      <c r="O50" s="170" t="e">
        <f t="shared" si="2"/>
        <v>#REF!</v>
      </c>
      <c r="P50" s="172" t="e">
        <f t="shared" si="12"/>
        <v>#REF!</v>
      </c>
      <c r="Q50" s="172" t="e">
        <f t="shared" si="6"/>
        <v>#REF!</v>
      </c>
      <c r="R50" s="173" t="e">
        <f t="shared" si="8"/>
        <v>#REF!</v>
      </c>
      <c r="S50" s="172" t="e">
        <f t="shared" si="9"/>
        <v>#REF!</v>
      </c>
      <c r="T50" s="172" t="e">
        <f t="shared" si="10"/>
        <v>#REF!</v>
      </c>
    </row>
    <row r="51" spans="1:20" ht="16.5" customHeight="1" x14ac:dyDescent="0.3">
      <c r="A51" s="65">
        <v>2</v>
      </c>
      <c r="B51" s="66" t="s">
        <v>34</v>
      </c>
      <c r="D51" s="179">
        <f>VLOOKUP(B51,'WF Need'!$B$7:$AB$64,27, FALSE)</f>
        <v>24800544.533442296</v>
      </c>
      <c r="E51" s="92">
        <f t="shared" si="3"/>
        <v>6.7956999238429298E-3</v>
      </c>
      <c r="F51" s="8" t="e">
        <f>#REF!</f>
        <v>#REF!</v>
      </c>
      <c r="H51" s="185" t="e">
        <f>IF(F51&lt;Floors!$E$4,Floors!$E$4, "-")</f>
        <v>#REF!</v>
      </c>
      <c r="I51" s="65" t="e">
        <f t="shared" si="4"/>
        <v>#REF!</v>
      </c>
      <c r="J51" s="182" t="e">
        <f>IF(I51="Y",VLOOKUP(B51,#REF!,2,FALSE)*1.1,"N/A ")</f>
        <v>#REF!</v>
      </c>
      <c r="K51" s="182" t="e">
        <f t="shared" si="0"/>
        <v>#REF!</v>
      </c>
      <c r="M51" s="182" t="e">
        <f t="shared" si="5"/>
        <v>#REF!</v>
      </c>
      <c r="N51" s="172" t="e">
        <f t="shared" si="1"/>
        <v>#REF!</v>
      </c>
      <c r="O51" s="170" t="e">
        <f t="shared" si="2"/>
        <v>#REF!</v>
      </c>
      <c r="P51" s="172" t="e">
        <f t="shared" si="12"/>
        <v>#REF!</v>
      </c>
      <c r="Q51" s="172" t="e">
        <f t="shared" si="6"/>
        <v>#REF!</v>
      </c>
      <c r="R51" s="173" t="e">
        <f t="shared" si="8"/>
        <v>#REF!</v>
      </c>
      <c r="S51" s="172" t="e">
        <f t="shared" si="9"/>
        <v>#REF!</v>
      </c>
      <c r="T51" s="172" t="e">
        <f t="shared" si="10"/>
        <v>#REF!</v>
      </c>
    </row>
    <row r="52" spans="1:20" ht="16.5" customHeight="1" x14ac:dyDescent="0.3">
      <c r="A52" s="65">
        <v>1</v>
      </c>
      <c r="B52" s="66" t="s">
        <v>17</v>
      </c>
      <c r="D52" s="179">
        <f>VLOOKUP(B52,'WF Need'!$B$7:$AB$64,27, FALSE)</f>
        <v>711065.8647807833</v>
      </c>
      <c r="E52" s="92">
        <f t="shared" si="3"/>
        <v>1.948421026248883E-4</v>
      </c>
      <c r="F52" s="8" t="e">
        <f>#REF!</f>
        <v>#REF!</v>
      </c>
      <c r="H52" s="185" t="e">
        <f>IF(F52&lt;Floors!$E$4,Floors!$E$4, "-")</f>
        <v>#REF!</v>
      </c>
      <c r="I52" s="65" t="e">
        <f t="shared" si="4"/>
        <v>#REF!</v>
      </c>
      <c r="J52" s="182" t="e">
        <f>IF(I52="Y",VLOOKUP(B52,#REF!,2,FALSE)*1.1,"N/A ")</f>
        <v>#REF!</v>
      </c>
      <c r="K52" s="182" t="e">
        <f>IF(I52="Y",F52, "N/A ")</f>
        <v>#REF!</v>
      </c>
      <c r="M52" s="183" t="e">
        <f t="shared" si="5"/>
        <v>#REF!</v>
      </c>
      <c r="N52" s="172" t="e">
        <f t="shared" si="1"/>
        <v>#REF!</v>
      </c>
      <c r="O52" s="172" t="e">
        <f t="shared" si="2"/>
        <v>#REF!</v>
      </c>
      <c r="P52" s="172" t="e">
        <f t="shared" si="12"/>
        <v>#REF!</v>
      </c>
      <c r="Q52" s="172" t="e">
        <f t="shared" si="6"/>
        <v>#REF!</v>
      </c>
      <c r="R52" s="173" t="e">
        <f t="shared" si="8"/>
        <v>#REF!</v>
      </c>
      <c r="S52" s="172" t="e">
        <f t="shared" si="9"/>
        <v>#REF!</v>
      </c>
      <c r="T52" s="172" t="e">
        <f t="shared" si="10"/>
        <v>#REF!</v>
      </c>
    </row>
    <row r="53" spans="1:20" ht="16.5" customHeight="1" x14ac:dyDescent="0.3">
      <c r="A53" s="65">
        <v>2</v>
      </c>
      <c r="B53" s="66" t="s">
        <v>35</v>
      </c>
      <c r="D53" s="179">
        <f>VLOOKUP(B53,'WF Need'!$B$7:$AB$64,27, FALSE)</f>
        <v>6466358.2216588799</v>
      </c>
      <c r="E53" s="92">
        <f t="shared" si="3"/>
        <v>1.7718735979854326E-3</v>
      </c>
      <c r="F53" s="8" t="e">
        <f>#REF!</f>
        <v>#REF!</v>
      </c>
      <c r="H53" s="185" t="e">
        <f>IF(F53&lt;Floors!$E$4,Floors!$E$4, "-")</f>
        <v>#REF!</v>
      </c>
      <c r="I53" s="65" t="e">
        <f t="shared" si="4"/>
        <v>#REF!</v>
      </c>
      <c r="J53" s="182" t="e">
        <f>IF(I53="Y",VLOOKUP(B53,#REF!,2,FALSE)*1.1,"N/A ")</f>
        <v>#REF!</v>
      </c>
      <c r="K53" s="182" t="e">
        <f t="shared" si="0"/>
        <v>#REF!</v>
      </c>
      <c r="M53" s="182" t="e">
        <f t="shared" si="5"/>
        <v>#REF!</v>
      </c>
      <c r="N53" s="172" t="e">
        <f t="shared" si="1"/>
        <v>#REF!</v>
      </c>
      <c r="O53" s="170" t="e">
        <f t="shared" si="2"/>
        <v>#REF!</v>
      </c>
      <c r="P53" s="172" t="e">
        <f t="shared" si="12"/>
        <v>#REF!</v>
      </c>
      <c r="Q53" s="172" t="e">
        <f t="shared" si="6"/>
        <v>#REF!</v>
      </c>
      <c r="R53" s="173" t="e">
        <f t="shared" si="8"/>
        <v>#REF!</v>
      </c>
      <c r="S53" s="172" t="e">
        <f t="shared" si="9"/>
        <v>#REF!</v>
      </c>
      <c r="T53" s="172" t="e">
        <f t="shared" si="10"/>
        <v>#REF!</v>
      </c>
    </row>
    <row r="54" spans="1:20" ht="16.5" customHeight="1" x14ac:dyDescent="0.3">
      <c r="A54" s="65">
        <v>3</v>
      </c>
      <c r="B54" s="66" t="s">
        <v>48</v>
      </c>
      <c r="D54" s="179">
        <f>VLOOKUP(B54,'WF Need'!$B$7:$AB$64,27, FALSE)</f>
        <v>42103809.297219597</v>
      </c>
      <c r="E54" s="92">
        <f t="shared" si="3"/>
        <v>1.1537039166571015E-2</v>
      </c>
      <c r="F54" s="8" t="e">
        <f>#REF!</f>
        <v>#REF!</v>
      </c>
      <c r="H54" s="185" t="e">
        <f>IF(F54&lt;Floors!$E$4,Floors!$E$4, "-")</f>
        <v>#REF!</v>
      </c>
      <c r="I54" s="65" t="e">
        <f t="shared" si="4"/>
        <v>#REF!</v>
      </c>
      <c r="J54" s="182" t="e">
        <f>IF(I54="Y",VLOOKUP(B54,#REF!,2,FALSE)*1.1,"N/A ")</f>
        <v>#REF!</v>
      </c>
      <c r="K54" s="182" t="e">
        <f t="shared" si="0"/>
        <v>#REF!</v>
      </c>
      <c r="M54" s="182" t="e">
        <f t="shared" si="5"/>
        <v>#REF!</v>
      </c>
      <c r="N54" s="172" t="e">
        <f t="shared" si="1"/>
        <v>#REF!</v>
      </c>
      <c r="O54" s="170" t="e">
        <f t="shared" si="2"/>
        <v>#REF!</v>
      </c>
      <c r="P54" s="172" t="e">
        <f t="shared" si="12"/>
        <v>#REF!</v>
      </c>
      <c r="Q54" s="172" t="e">
        <f t="shared" si="6"/>
        <v>#REF!</v>
      </c>
      <c r="R54" s="173" t="e">
        <f t="shared" si="8"/>
        <v>#REF!</v>
      </c>
      <c r="S54" s="172" t="e">
        <f t="shared" si="9"/>
        <v>#REF!</v>
      </c>
      <c r="T54" s="172" t="e">
        <f t="shared" si="10"/>
        <v>#REF!</v>
      </c>
    </row>
    <row r="55" spans="1:20" ht="16.5" customHeight="1" x14ac:dyDescent="0.3">
      <c r="A55" s="65">
        <v>3</v>
      </c>
      <c r="B55" s="66" t="s">
        <v>49</v>
      </c>
      <c r="D55" s="179">
        <f>VLOOKUP(B55,'WF Need'!$B$7:$AB$64,27, FALSE)</f>
        <v>41269373.543060981</v>
      </c>
      <c r="E55" s="92">
        <f t="shared" si="3"/>
        <v>1.1308391969597535E-2</v>
      </c>
      <c r="F55" s="8" t="e">
        <f>#REF!</f>
        <v>#REF!</v>
      </c>
      <c r="H55" s="185" t="e">
        <f>IF(F55&lt;Floors!$E$4,Floors!$E$4, "-")</f>
        <v>#REF!</v>
      </c>
      <c r="I55" s="65" t="e">
        <f t="shared" si="4"/>
        <v>#REF!</v>
      </c>
      <c r="J55" s="182" t="e">
        <f>IF(I55="Y",VLOOKUP(B55,#REF!,2,FALSE)*1.1,"N/A ")</f>
        <v>#REF!</v>
      </c>
      <c r="K55" s="182" t="e">
        <f t="shared" si="0"/>
        <v>#REF!</v>
      </c>
      <c r="M55" s="182" t="e">
        <f t="shared" si="5"/>
        <v>#REF!</v>
      </c>
      <c r="N55" s="172" t="e">
        <f t="shared" si="1"/>
        <v>#REF!</v>
      </c>
      <c r="O55" s="170" t="e">
        <f t="shared" si="2"/>
        <v>#REF!</v>
      </c>
      <c r="P55" s="172" t="e">
        <f>IF(M55="n/a",(IF(AND(H55=750000,(F55&gt;750000)), H55-F55, 0)),M55-F55)</f>
        <v>#REF!</v>
      </c>
      <c r="Q55" s="172" t="e">
        <f t="shared" si="6"/>
        <v>#REF!</v>
      </c>
      <c r="R55" s="173" t="e">
        <f t="shared" si="8"/>
        <v>#REF!</v>
      </c>
      <c r="S55" s="172" t="e">
        <f t="shared" si="9"/>
        <v>#REF!</v>
      </c>
      <c r="T55" s="172" t="e">
        <f t="shared" si="10"/>
        <v>#REF!</v>
      </c>
    </row>
    <row r="56" spans="1:20" ht="16.5" customHeight="1" x14ac:dyDescent="0.3">
      <c r="A56" s="65">
        <v>3</v>
      </c>
      <c r="B56" s="66" t="s">
        <v>50</v>
      </c>
      <c r="D56" s="179">
        <f>VLOOKUP(B56,'WF Need'!$B$7:$AB$64,27, FALSE)</f>
        <v>55590796.490636669</v>
      </c>
      <c r="E56" s="92">
        <f t="shared" si="3"/>
        <v>1.5232664386395716E-2</v>
      </c>
      <c r="F56" s="8" t="e">
        <f>#REF!</f>
        <v>#REF!</v>
      </c>
      <c r="H56" s="185" t="e">
        <f>IF(F56&lt;Floors!$E$4,Floors!$E$4, "-")</f>
        <v>#REF!</v>
      </c>
      <c r="I56" s="65" t="e">
        <f t="shared" si="4"/>
        <v>#REF!</v>
      </c>
      <c r="J56" s="182" t="e">
        <f>IF(I56="Y",VLOOKUP(B56,#REF!,2,FALSE)*1.1,"N/A ")</f>
        <v>#REF!</v>
      </c>
      <c r="K56" s="182" t="e">
        <f t="shared" si="0"/>
        <v>#REF!</v>
      </c>
      <c r="M56" s="182" t="e">
        <f t="shared" si="5"/>
        <v>#REF!</v>
      </c>
      <c r="N56" s="172" t="e">
        <f t="shared" si="1"/>
        <v>#REF!</v>
      </c>
      <c r="O56" s="170" t="e">
        <f t="shared" si="2"/>
        <v>#REF!</v>
      </c>
      <c r="P56" s="172" t="e">
        <f>IF(M56="n/a",(IF(AND(H56=750000,(F56&gt;750000)), H56-F56, 0)),M56-F56)</f>
        <v>#REF!</v>
      </c>
      <c r="Q56" s="172" t="e">
        <f t="shared" si="6"/>
        <v>#REF!</v>
      </c>
      <c r="R56" s="173" t="e">
        <f t="shared" si="8"/>
        <v>#REF!</v>
      </c>
      <c r="S56" s="172" t="e">
        <f t="shared" si="9"/>
        <v>#REF!</v>
      </c>
      <c r="T56" s="172" t="e">
        <f t="shared" si="10"/>
        <v>#REF!</v>
      </c>
    </row>
    <row r="57" spans="1:20" ht="16.5" customHeight="1" x14ac:dyDescent="0.3">
      <c r="A57" s="65">
        <v>2</v>
      </c>
      <c r="B57" s="66" t="s">
        <v>36</v>
      </c>
      <c r="D57" s="179">
        <f>VLOOKUP(B57,'WF Need'!$B$7:$AB$64,27, FALSE)</f>
        <v>12536594.738889143</v>
      </c>
      <c r="E57" s="92">
        <f t="shared" si="3"/>
        <v>3.4352042471260057E-3</v>
      </c>
      <c r="F57" s="8" t="e">
        <f>#REF!</f>
        <v>#REF!</v>
      </c>
      <c r="H57" s="185" t="e">
        <f>IF(F57&lt;Floors!$E$4,Floors!$E$4, "-")</f>
        <v>#REF!</v>
      </c>
      <c r="I57" s="65" t="e">
        <f t="shared" si="4"/>
        <v>#REF!</v>
      </c>
      <c r="J57" s="182" t="e">
        <f>IF(I57="Y",VLOOKUP(B57,#REF!,2,FALSE)*1.1,"N/A ")</f>
        <v>#REF!</v>
      </c>
      <c r="K57" s="182" t="e">
        <f t="shared" si="0"/>
        <v>#REF!</v>
      </c>
      <c r="M57" s="182" t="e">
        <f t="shared" si="5"/>
        <v>#REF!</v>
      </c>
      <c r="N57" s="172" t="e">
        <f t="shared" si="1"/>
        <v>#REF!</v>
      </c>
      <c r="O57" s="170" t="e">
        <f t="shared" si="2"/>
        <v>#REF!</v>
      </c>
      <c r="P57" s="172" t="e">
        <f t="shared" ref="P57:P64" si="13">IF(M57="n/a",(IF(AND(H57=750000,(F57&gt;750000)), H57-F57, 0)),M57-F57)</f>
        <v>#REF!</v>
      </c>
      <c r="Q57" s="172" t="e">
        <f t="shared" si="6"/>
        <v>#REF!</v>
      </c>
      <c r="R57" s="173" t="e">
        <f t="shared" si="8"/>
        <v>#REF!</v>
      </c>
      <c r="S57" s="172" t="e">
        <f t="shared" si="9"/>
        <v>#REF!</v>
      </c>
      <c r="T57" s="172" t="e">
        <f t="shared" si="10"/>
        <v>#REF!</v>
      </c>
    </row>
    <row r="58" spans="1:20" ht="16.5" customHeight="1" x14ac:dyDescent="0.3">
      <c r="A58" s="65">
        <v>2</v>
      </c>
      <c r="B58" s="66" t="s">
        <v>37</v>
      </c>
      <c r="D58" s="179">
        <f>VLOOKUP(B58,'WF Need'!$B$7:$AB$64,27, FALSE)</f>
        <v>8653611.4829334207</v>
      </c>
      <c r="E58" s="92">
        <f t="shared" si="3"/>
        <v>2.3712119230381483E-3</v>
      </c>
      <c r="F58" s="8" t="e">
        <f>#REF!</f>
        <v>#REF!</v>
      </c>
      <c r="H58" s="185" t="e">
        <f>IF(F58&lt;Floors!$E$4,Floors!$E$4, "-")</f>
        <v>#REF!</v>
      </c>
      <c r="I58" s="65" t="e">
        <f t="shared" si="4"/>
        <v>#REF!</v>
      </c>
      <c r="J58" s="182" t="e">
        <f>IF(I58="Y",VLOOKUP(B58,#REF!,2,FALSE)*1.1,"N/A ")</f>
        <v>#REF!</v>
      </c>
      <c r="K58" s="182" t="e">
        <f t="shared" si="0"/>
        <v>#REF!</v>
      </c>
      <c r="M58" s="182" t="e">
        <f t="shared" si="5"/>
        <v>#REF!</v>
      </c>
      <c r="N58" s="172" t="e">
        <f t="shared" si="1"/>
        <v>#REF!</v>
      </c>
      <c r="O58" s="170" t="e">
        <f t="shared" si="2"/>
        <v>#REF!</v>
      </c>
      <c r="P58" s="172" t="e">
        <f t="shared" si="13"/>
        <v>#REF!</v>
      </c>
      <c r="Q58" s="172" t="e">
        <f t="shared" si="6"/>
        <v>#REF!</v>
      </c>
      <c r="R58" s="173" t="e">
        <f t="shared" si="8"/>
        <v>#REF!</v>
      </c>
      <c r="S58" s="172" t="e">
        <f t="shared" si="9"/>
        <v>#REF!</v>
      </c>
      <c r="T58" s="172" t="e">
        <f t="shared" si="10"/>
        <v>#REF!</v>
      </c>
    </row>
    <row r="59" spans="1:20" ht="16.5" customHeight="1" x14ac:dyDescent="0.3">
      <c r="A59" s="65">
        <v>1</v>
      </c>
      <c r="B59" s="66" t="s">
        <v>18</v>
      </c>
      <c r="D59" s="179">
        <f>VLOOKUP(B59,'WF Need'!$B$7:$AB$64,27, FALSE)</f>
        <v>2428012.7330865841</v>
      </c>
      <c r="E59" s="92">
        <f t="shared" si="3"/>
        <v>6.6530982507568236E-4</v>
      </c>
      <c r="F59" s="8" t="e">
        <f>#REF!</f>
        <v>#REF!</v>
      </c>
      <c r="H59" s="185" t="e">
        <f>IF(F59&lt;Floors!$E$4,Floors!$E$4, "-")</f>
        <v>#REF!</v>
      </c>
      <c r="I59" s="65" t="e">
        <f t="shared" si="4"/>
        <v>#REF!</v>
      </c>
      <c r="J59" s="182" t="e">
        <f>IF(I59="Y",VLOOKUP(B59,#REF!,2,FALSE)*1.1,"N/A ")</f>
        <v>#REF!</v>
      </c>
      <c r="K59" s="182" t="e">
        <f t="shared" si="0"/>
        <v>#REF!</v>
      </c>
      <c r="M59" s="182" t="e">
        <f t="shared" si="5"/>
        <v>#REF!</v>
      </c>
      <c r="N59" s="172" t="e">
        <f t="shared" si="1"/>
        <v>#REF!</v>
      </c>
      <c r="O59" s="172" t="e">
        <f t="shared" si="2"/>
        <v>#REF!</v>
      </c>
      <c r="P59" s="172" t="e">
        <f t="shared" si="13"/>
        <v>#REF!</v>
      </c>
      <c r="Q59" s="172" t="e">
        <f t="shared" si="6"/>
        <v>#REF!</v>
      </c>
      <c r="R59" s="173" t="e">
        <f t="shared" si="8"/>
        <v>#REF!</v>
      </c>
      <c r="S59" s="172" t="e">
        <f t="shared" si="9"/>
        <v>#REF!</v>
      </c>
      <c r="T59" s="172" t="e">
        <f t="shared" si="10"/>
        <v>#REF!</v>
      </c>
    </row>
    <row r="60" spans="1:20" ht="16.5" customHeight="1" x14ac:dyDescent="0.3">
      <c r="A60" s="65">
        <v>3</v>
      </c>
      <c r="B60" s="66" t="s">
        <v>51</v>
      </c>
      <c r="D60" s="179">
        <f>VLOOKUP(B60,'WF Need'!$B$7:$AB$64,27, FALSE)</f>
        <v>49473507.486767963</v>
      </c>
      <c r="E60" s="92">
        <f t="shared" si="3"/>
        <v>1.3556440690514402E-2</v>
      </c>
      <c r="F60" s="8" t="e">
        <f>#REF!</f>
        <v>#REF!</v>
      </c>
      <c r="H60" s="185" t="e">
        <f>IF(F60&lt;Floors!$E$4,Floors!$E$4, "-")</f>
        <v>#REF!</v>
      </c>
      <c r="I60" s="65" t="e">
        <f t="shared" si="4"/>
        <v>#REF!</v>
      </c>
      <c r="J60" s="182" t="e">
        <f>IF(I60="Y",VLOOKUP(B60,#REF!,2,FALSE)*1.1,"N/A ")</f>
        <v>#REF!</v>
      </c>
      <c r="K60" s="182" t="e">
        <f t="shared" si="0"/>
        <v>#REF!</v>
      </c>
      <c r="M60" s="182" t="e">
        <f t="shared" si="5"/>
        <v>#REF!</v>
      </c>
      <c r="N60" s="172" t="e">
        <f t="shared" si="1"/>
        <v>#REF!</v>
      </c>
      <c r="O60" s="170" t="e">
        <f t="shared" si="2"/>
        <v>#REF!</v>
      </c>
      <c r="P60" s="172" t="e">
        <f t="shared" si="13"/>
        <v>#REF!</v>
      </c>
      <c r="Q60" s="172" t="e">
        <f t="shared" si="6"/>
        <v>#REF!</v>
      </c>
      <c r="R60" s="173" t="e">
        <f t="shared" si="8"/>
        <v>#REF!</v>
      </c>
      <c r="S60" s="172" t="e">
        <f t="shared" si="9"/>
        <v>#REF!</v>
      </c>
      <c r="T60" s="172" t="e">
        <f t="shared" si="10"/>
        <v>#REF!</v>
      </c>
    </row>
    <row r="61" spans="1:20" ht="16.5" customHeight="1" x14ac:dyDescent="0.3">
      <c r="A61" s="65">
        <v>2</v>
      </c>
      <c r="B61" s="66" t="s">
        <v>38</v>
      </c>
      <c r="D61" s="179">
        <f>VLOOKUP(B61,'WF Need'!$B$7:$AB$64,27, FALSE)</f>
        <v>6836864.3946161335</v>
      </c>
      <c r="E61" s="92">
        <f t="shared" si="3"/>
        <v>1.8733975289601638E-3</v>
      </c>
      <c r="F61" s="8" t="e">
        <f>#REF!</f>
        <v>#REF!</v>
      </c>
      <c r="H61" s="185" t="e">
        <f>IF(F61&lt;Floors!$E$4,Floors!$E$4, "-")</f>
        <v>#REF!</v>
      </c>
      <c r="I61" s="65" t="e">
        <f t="shared" si="4"/>
        <v>#REF!</v>
      </c>
      <c r="J61" s="182" t="e">
        <f>IF(I61="Y",VLOOKUP(B61,#REF!,2,FALSE)*1.1,"N/A ")</f>
        <v>#REF!</v>
      </c>
      <c r="K61" s="182" t="e">
        <f t="shared" si="0"/>
        <v>#REF!</v>
      </c>
      <c r="M61" s="182" t="e">
        <f t="shared" si="5"/>
        <v>#REF!</v>
      </c>
      <c r="N61" s="172" t="e">
        <f t="shared" si="1"/>
        <v>#REF!</v>
      </c>
      <c r="O61" s="170" t="e">
        <f t="shared" si="2"/>
        <v>#REF!</v>
      </c>
      <c r="P61" s="172" t="e">
        <f t="shared" si="13"/>
        <v>#REF!</v>
      </c>
      <c r="Q61" s="172" t="e">
        <f t="shared" si="6"/>
        <v>#REF!</v>
      </c>
      <c r="R61" s="173" t="e">
        <f t="shared" si="8"/>
        <v>#REF!</v>
      </c>
      <c r="S61" s="172" t="e">
        <f t="shared" si="9"/>
        <v>#REF!</v>
      </c>
      <c r="T61" s="172" t="e">
        <f t="shared" si="10"/>
        <v>#REF!</v>
      </c>
    </row>
    <row r="62" spans="1:20" ht="16.5" customHeight="1" x14ac:dyDescent="0.3">
      <c r="A62" s="65">
        <v>3</v>
      </c>
      <c r="B62" s="66" t="s">
        <v>52</v>
      </c>
      <c r="D62" s="179">
        <f>VLOOKUP(B62,'WF Need'!$B$7:$AB$64,27, FALSE)</f>
        <v>63898152.29518263</v>
      </c>
      <c r="E62" s="92">
        <f t="shared" si="3"/>
        <v>1.7508997356914299E-2</v>
      </c>
      <c r="F62" s="8" t="e">
        <f>#REF!</f>
        <v>#REF!</v>
      </c>
      <c r="H62" s="185" t="e">
        <f>IF(F62&lt;Floors!$E$4,Floors!$E$4, "-")</f>
        <v>#REF!</v>
      </c>
      <c r="I62" s="65" t="e">
        <f t="shared" si="4"/>
        <v>#REF!</v>
      </c>
      <c r="J62" s="182" t="e">
        <f>IF(I62="Y",VLOOKUP(B62,#REF!,2,FALSE)*1.1,"N/A ")</f>
        <v>#REF!</v>
      </c>
      <c r="K62" s="182" t="e">
        <f t="shared" si="0"/>
        <v>#REF!</v>
      </c>
      <c r="M62" s="182" t="e">
        <f t="shared" si="5"/>
        <v>#REF!</v>
      </c>
      <c r="N62" s="172" t="e">
        <f t="shared" si="1"/>
        <v>#REF!</v>
      </c>
      <c r="O62" s="170" t="e">
        <f t="shared" si="2"/>
        <v>#REF!</v>
      </c>
      <c r="P62" s="172" t="e">
        <f t="shared" si="13"/>
        <v>#REF!</v>
      </c>
      <c r="Q62" s="172" t="e">
        <f t="shared" si="6"/>
        <v>#REF!</v>
      </c>
      <c r="R62" s="173" t="e">
        <f t="shared" si="8"/>
        <v>#REF!</v>
      </c>
      <c r="S62" s="172" t="e">
        <f t="shared" si="9"/>
        <v>#REF!</v>
      </c>
      <c r="T62" s="172" t="e">
        <f t="shared" si="10"/>
        <v>#REF!</v>
      </c>
    </row>
    <row r="63" spans="1:20" ht="16.5" customHeight="1" x14ac:dyDescent="0.3">
      <c r="A63" s="65">
        <v>2</v>
      </c>
      <c r="B63" s="66" t="s">
        <v>39</v>
      </c>
      <c r="D63" s="179">
        <f>VLOOKUP(B63,'WF Need'!$B$7:$AB$64,27, FALSE)</f>
        <v>22857113.600800835</v>
      </c>
      <c r="E63" s="92">
        <f t="shared" si="3"/>
        <v>6.2631723648961237E-3</v>
      </c>
      <c r="F63" s="8" t="e">
        <f>#REF!</f>
        <v>#REF!</v>
      </c>
      <c r="H63" s="185" t="e">
        <f>IF(F63&lt;Floors!$E$4,Floors!$E$4, "-")</f>
        <v>#REF!</v>
      </c>
      <c r="I63" s="65" t="e">
        <f t="shared" si="4"/>
        <v>#REF!</v>
      </c>
      <c r="J63" s="182" t="e">
        <f>IF(I63="Y",VLOOKUP(B63,#REF!,2,FALSE)*1.1,"N/A ")</f>
        <v>#REF!</v>
      </c>
      <c r="K63" s="182" t="e">
        <f t="shared" si="0"/>
        <v>#REF!</v>
      </c>
      <c r="M63" s="182" t="e">
        <f t="shared" si="5"/>
        <v>#REF!</v>
      </c>
      <c r="N63" s="172" t="e">
        <f t="shared" si="1"/>
        <v>#REF!</v>
      </c>
      <c r="O63" s="170" t="e">
        <f t="shared" si="2"/>
        <v>#REF!</v>
      </c>
      <c r="P63" s="172" t="e">
        <f t="shared" si="13"/>
        <v>#REF!</v>
      </c>
      <c r="Q63" s="172" t="e">
        <f t="shared" si="6"/>
        <v>#REF!</v>
      </c>
      <c r="R63" s="173" t="e">
        <f t="shared" si="8"/>
        <v>#REF!</v>
      </c>
      <c r="S63" s="172" t="e">
        <f t="shared" si="9"/>
        <v>#REF!</v>
      </c>
      <c r="T63" s="172" t="e">
        <f t="shared" si="10"/>
        <v>#REF!</v>
      </c>
    </row>
    <row r="64" spans="1:20" ht="16.5" customHeight="1" x14ac:dyDescent="0.3">
      <c r="A64" s="65">
        <v>2</v>
      </c>
      <c r="B64" s="66" t="s">
        <v>40</v>
      </c>
      <c r="D64" s="179">
        <f>VLOOKUP(B64,'WF Need'!$B$7:$AB$64,27, FALSE)</f>
        <v>11404737.699215101</v>
      </c>
      <c r="E64" s="92">
        <f t="shared" si="3"/>
        <v>3.1250594118808757E-3</v>
      </c>
      <c r="F64" s="8" t="e">
        <f>#REF!</f>
        <v>#REF!</v>
      </c>
      <c r="H64" s="185" t="e">
        <f>IF(F64&lt;Floors!$E$4,Floors!$E$4, "-")</f>
        <v>#REF!</v>
      </c>
      <c r="I64" s="65" t="e">
        <f t="shared" si="4"/>
        <v>#REF!</v>
      </c>
      <c r="J64" s="182" t="e">
        <f>IF(I64="Y",VLOOKUP(B64,#REF!,2,FALSE)*1.1,"N/A ")</f>
        <v>#REF!</v>
      </c>
      <c r="K64" s="182" t="e">
        <f t="shared" si="0"/>
        <v>#REF!</v>
      </c>
      <c r="M64" s="182" t="e">
        <f t="shared" si="5"/>
        <v>#REF!</v>
      </c>
      <c r="N64" s="172" t="e">
        <f t="shared" si="1"/>
        <v>#REF!</v>
      </c>
      <c r="O64" s="170" t="e">
        <f t="shared" si="2"/>
        <v>#REF!</v>
      </c>
      <c r="P64" s="172" t="e">
        <f t="shared" si="13"/>
        <v>#REF!</v>
      </c>
      <c r="Q64" s="172" t="e">
        <f t="shared" si="6"/>
        <v>#REF!</v>
      </c>
      <c r="R64" s="173" t="e">
        <f t="shared" si="8"/>
        <v>#REF!</v>
      </c>
      <c r="S64" s="172" t="e">
        <f t="shared" si="9"/>
        <v>#REF!</v>
      </c>
      <c r="T64" s="172" t="e">
        <f t="shared" si="10"/>
        <v>#REF!</v>
      </c>
    </row>
    <row r="65" spans="2:22" ht="16.5" customHeight="1" thickBot="1" x14ac:dyDescent="0.35">
      <c r="B65" s="98" t="s">
        <v>62</v>
      </c>
      <c r="D65" s="186">
        <f>SUM(D7:D64)</f>
        <v>3649446681.1915569</v>
      </c>
      <c r="E65" s="180">
        <f>SUM(E7:E64)</f>
        <v>0.99999999999999978</v>
      </c>
      <c r="F65" s="187" t="e">
        <f>SUM(F7:F64)</f>
        <v>#REF!</v>
      </c>
      <c r="H65" s="53"/>
      <c r="I65" s="53"/>
      <c r="J65" s="166"/>
      <c r="K65" s="166"/>
      <c r="M65" s="187" t="e">
        <f t="shared" ref="M65" si="14">SUM(M7:M64)</f>
        <v>#REF!</v>
      </c>
      <c r="N65" s="170"/>
      <c r="O65" s="170"/>
      <c r="P65" s="175" t="e">
        <f t="shared" ref="P65:S65" si="15">SUM(P7:P64)</f>
        <v>#REF!</v>
      </c>
      <c r="Q65" s="175" t="e">
        <f t="shared" si="15"/>
        <v>#REF!</v>
      </c>
      <c r="R65" s="176" t="e">
        <f>SUM(R7:R64)</f>
        <v>#REF!</v>
      </c>
      <c r="S65" s="175" t="e">
        <f t="shared" si="15"/>
        <v>#REF!</v>
      </c>
      <c r="T65" s="175" t="e">
        <f t="shared" ref="T65" si="16">SUM(T7:T64)</f>
        <v>#REF!</v>
      </c>
    </row>
    <row r="66" spans="2:22" ht="15" thickTop="1" x14ac:dyDescent="0.3">
      <c r="D66" s="177"/>
      <c r="F66" s="58"/>
      <c r="H66" s="53"/>
      <c r="I66" s="53"/>
      <c r="N66" s="170"/>
      <c r="O66" s="170"/>
      <c r="P66" s="170"/>
      <c r="Q66" s="170"/>
      <c r="R66" s="170"/>
      <c r="S66" s="170"/>
      <c r="T66" s="170"/>
    </row>
    <row r="67" spans="2:22" ht="15" customHeight="1" x14ac:dyDescent="0.3">
      <c r="B67" s="181" t="s">
        <v>193</v>
      </c>
      <c r="D67" s="178"/>
      <c r="H67" s="53"/>
      <c r="I67" s="53"/>
      <c r="M67" s="84"/>
      <c r="N67" s="170"/>
      <c r="O67" s="170"/>
      <c r="P67" s="307" t="s">
        <v>112</v>
      </c>
      <c r="Q67" s="307"/>
      <c r="R67" s="307"/>
      <c r="S67" s="307"/>
      <c r="T67" s="307"/>
      <c r="U67" s="164"/>
      <c r="V67" s="164"/>
    </row>
    <row r="68" spans="2:22" x14ac:dyDescent="0.3">
      <c r="D68" s="177"/>
      <c r="F68" s="58"/>
      <c r="H68" s="53"/>
      <c r="I68" s="53"/>
      <c r="N68" s="170"/>
      <c r="O68" s="170"/>
      <c r="P68" s="307"/>
      <c r="Q68" s="307"/>
      <c r="R68" s="307"/>
      <c r="S68" s="307"/>
      <c r="T68" s="307"/>
      <c r="U68" s="164"/>
      <c r="V68" s="164"/>
    </row>
    <row r="69" spans="2:22" x14ac:dyDescent="0.3">
      <c r="D69" s="177"/>
      <c r="F69" s="58"/>
      <c r="H69" s="53"/>
      <c r="I69" s="53"/>
      <c r="N69" s="170"/>
      <c r="O69" s="170"/>
      <c r="P69" s="307"/>
      <c r="Q69" s="307"/>
      <c r="R69" s="307"/>
      <c r="S69" s="307"/>
      <c r="T69" s="307"/>
    </row>
    <row r="70" spans="2:22" x14ac:dyDescent="0.3">
      <c r="D70" s="177"/>
      <c r="F70" s="58"/>
      <c r="H70" s="53"/>
      <c r="I70" s="53"/>
      <c r="P70" s="164"/>
      <c r="Q70" s="164"/>
      <c r="R70" s="164"/>
      <c r="S70" s="164"/>
      <c r="T70" s="164"/>
    </row>
    <row r="71" spans="2:22" x14ac:dyDescent="0.3">
      <c r="D71" s="177"/>
      <c r="F71" s="58"/>
      <c r="H71" s="53"/>
      <c r="I71" s="53"/>
    </row>
    <row r="72" spans="2:22" x14ac:dyDescent="0.3">
      <c r="D72" s="177"/>
      <c r="F72" s="58"/>
      <c r="H72" s="53"/>
      <c r="I72" s="53"/>
    </row>
    <row r="73" spans="2:22" x14ac:dyDescent="0.3">
      <c r="D73" s="177"/>
      <c r="F73" s="58"/>
      <c r="H73" s="53"/>
      <c r="I73" s="53"/>
    </row>
  </sheetData>
  <autoFilter ref="I1:I74" xr:uid="{00000000-0009-0000-0000-00000A000000}"/>
  <mergeCells count="7">
    <mergeCell ref="D4:E4"/>
    <mergeCell ref="A4:B4"/>
    <mergeCell ref="A5:A6"/>
    <mergeCell ref="B5:B6"/>
    <mergeCell ref="P67:T69"/>
    <mergeCell ref="N4:S4"/>
    <mergeCell ref="H4:K4"/>
  </mergeCells>
  <conditionalFormatting sqref="I1:I3 I65:I1048576">
    <cfRule type="cellIs" dxfId="0" priority="1" operator="equal">
      <formula>"Y"</formula>
    </cfRule>
  </conditionalFormatting>
  <printOptions horizontalCentered="1"/>
  <pageMargins left="0.25" right="0.25" top="0.5" bottom="0.25" header="0.3" footer="0.3"/>
  <pageSetup scale="60" orientation="portrait" r:id="rId1"/>
  <rowBreaks count="1" manualBreakCount="1">
    <brk id="35" max="1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pageSetUpPr fitToPage="1"/>
  </sheetPr>
  <dimension ref="A1:E4"/>
  <sheetViews>
    <sheetView zoomScaleNormal="100" zoomScaleSheetLayoutView="100" workbookViewId="0">
      <pane xSplit="1" ySplit="3" topLeftCell="B4" activePane="bottomRight" state="frozen"/>
      <selection pane="topRight" activeCell="B1" sqref="B1"/>
      <selection pane="bottomLeft" activeCell="A6" sqref="A6"/>
      <selection pane="bottomRight" activeCell="A4" sqref="A4"/>
    </sheetView>
  </sheetViews>
  <sheetFormatPr defaultColWidth="9.21875" defaultRowHeight="14.4" x14ac:dyDescent="0.3"/>
  <cols>
    <col min="1" max="1" width="29.44140625" style="53" customWidth="1"/>
    <col min="2" max="7" width="16.21875" style="53" customWidth="1"/>
    <col min="8" max="16384" width="9.21875" style="53"/>
  </cols>
  <sheetData>
    <row r="1" spans="1:5" ht="20.100000000000001" customHeight="1" x14ac:dyDescent="0.3">
      <c r="A1" s="158" t="s">
        <v>188</v>
      </c>
    </row>
    <row r="2" spans="1:5" ht="20.100000000000001" customHeight="1" x14ac:dyDescent="0.3">
      <c r="A2" s="168" t="s">
        <v>206</v>
      </c>
    </row>
    <row r="3" spans="1:5" ht="20.100000000000001" customHeight="1" x14ac:dyDescent="0.3"/>
    <row r="4" spans="1:5" x14ac:dyDescent="0.3">
      <c r="A4" s="53" t="s">
        <v>208</v>
      </c>
      <c r="E4" s="165">
        <v>800000</v>
      </c>
    </row>
  </sheetData>
  <printOptions horizontalCentered="1"/>
  <pageMargins left="0.75" right="0.75" top="0.75" bottom="0.75" header="0.3" footer="0.3"/>
  <pageSetup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2060"/>
  </sheetPr>
  <dimension ref="B1:P62"/>
  <sheetViews>
    <sheetView workbookViewId="0">
      <selection activeCell="B2" sqref="B2:K3"/>
    </sheetView>
  </sheetViews>
  <sheetFormatPr defaultColWidth="9.21875" defaultRowHeight="15.6" x14ac:dyDescent="0.3"/>
  <cols>
    <col min="1" max="1" width="5.77734375" customWidth="1"/>
    <col min="2" max="2" width="15.44140625" style="19" bestFit="1" customWidth="1"/>
    <col min="3" max="3" width="13.77734375" customWidth="1"/>
    <col min="4" max="4" width="14.5546875" bestFit="1" customWidth="1"/>
    <col min="5" max="5" width="13.21875" bestFit="1" customWidth="1"/>
    <col min="6" max="6" width="13.44140625" bestFit="1" customWidth="1"/>
    <col min="7" max="7" width="5.77734375" customWidth="1"/>
    <col min="8" max="8" width="20.77734375" bestFit="1" customWidth="1"/>
    <col min="9" max="9" width="14.5546875" bestFit="1" customWidth="1"/>
    <col min="10" max="10" width="14.21875" bestFit="1" customWidth="1"/>
    <col min="11" max="11" width="13.44140625" bestFit="1" customWidth="1"/>
    <col min="12" max="12" width="5.77734375" customWidth="1"/>
    <col min="13" max="13" width="13.44140625" bestFit="1" customWidth="1"/>
    <col min="14" max="14" width="12.5546875" customWidth="1"/>
    <col min="15" max="15" width="18.21875" bestFit="1" customWidth="1"/>
    <col min="16" max="16" width="10.21875" customWidth="1"/>
  </cols>
  <sheetData>
    <row r="1" spans="2:16" ht="18.600000000000001" thickBot="1" x14ac:dyDescent="0.35">
      <c r="B1" s="16"/>
    </row>
    <row r="2" spans="2:16" s="4" customFormat="1" ht="61.5" customHeight="1" x14ac:dyDescent="0.3">
      <c r="B2" s="27" t="s">
        <v>63</v>
      </c>
      <c r="C2" s="28" t="s">
        <v>102</v>
      </c>
      <c r="D2" s="28" t="s">
        <v>101</v>
      </c>
      <c r="E2" s="28" t="s">
        <v>103</v>
      </c>
      <c r="F2" s="29" t="s">
        <v>104</v>
      </c>
      <c r="G2" s="15"/>
      <c r="H2" s="34" t="s">
        <v>105</v>
      </c>
      <c r="I2" s="28" t="s">
        <v>106</v>
      </c>
      <c r="J2" s="28" t="s">
        <v>107</v>
      </c>
      <c r="K2" s="29" t="s">
        <v>104</v>
      </c>
      <c r="M2" s="34" t="s">
        <v>108</v>
      </c>
      <c r="N2" s="28" t="s">
        <v>110</v>
      </c>
      <c r="O2" s="28" t="s">
        <v>109</v>
      </c>
      <c r="P2" s="29" t="s">
        <v>110</v>
      </c>
    </row>
    <row r="3" spans="2:16" ht="14.4" x14ac:dyDescent="0.3">
      <c r="B3" s="17" t="s">
        <v>53</v>
      </c>
      <c r="C3" s="21" t="e">
        <f>VLOOKUP(B3,#REF!,2)</f>
        <v>#REF!</v>
      </c>
      <c r="D3" s="21" t="e">
        <f>VLOOKUP(B3,#REF!,3)</f>
        <v>#REF!</v>
      </c>
      <c r="E3" s="14" t="e">
        <f>VLOOKUP(B3,#REF!,4)</f>
        <v>#REF!</v>
      </c>
      <c r="F3" s="22" t="e">
        <f>VLOOKUP(B3,#REF!,5)</f>
        <v>#REF!</v>
      </c>
      <c r="H3" s="30" t="e">
        <f>VLOOKUP(B3,#REF!,4)</f>
        <v>#REF!</v>
      </c>
      <c r="I3" s="21" t="e">
        <f>VLOOKUP(B3,#REF!,5)</f>
        <v>#REF!</v>
      </c>
      <c r="J3" s="14" t="e">
        <f>VLOOKUP(B3,#REF!,6)</f>
        <v>#REF!</v>
      </c>
      <c r="K3" s="22" t="e">
        <f>VLOOKUP(B3,#REF!,7)</f>
        <v>#REF!</v>
      </c>
      <c r="M3" s="30" t="e">
        <f t="shared" ref="M3:M34" si="0">H3-C3</f>
        <v>#REF!</v>
      </c>
      <c r="N3" s="35" t="e">
        <f t="shared" ref="N3:N34" si="1">M3/C3</f>
        <v>#REF!</v>
      </c>
      <c r="O3" s="21" t="e">
        <f t="shared" ref="O3:O34" si="2">I3-D3</f>
        <v>#REF!</v>
      </c>
      <c r="P3" s="36" t="e">
        <f t="shared" ref="P3:P34" si="3">O3/D3</f>
        <v>#REF!</v>
      </c>
    </row>
    <row r="4" spans="2:16" ht="14.4" x14ac:dyDescent="0.3">
      <c r="B4" s="17" t="s">
        <v>4</v>
      </c>
      <c r="C4" s="21" t="e">
        <f>VLOOKUP(B4,#REF!,2)</f>
        <v>#REF!</v>
      </c>
      <c r="D4" s="21" t="e">
        <f>VLOOKUP(B4,#REF!,3)</f>
        <v>#REF!</v>
      </c>
      <c r="E4" s="14" t="e">
        <f>VLOOKUP(B4,#REF!,4)</f>
        <v>#REF!</v>
      </c>
      <c r="F4" s="22" t="e">
        <f>VLOOKUP(B4,#REF!,5)</f>
        <v>#REF!</v>
      </c>
      <c r="H4" s="30" t="e">
        <f>VLOOKUP(B4,#REF!,4)</f>
        <v>#REF!</v>
      </c>
      <c r="I4" s="21" t="e">
        <f>VLOOKUP(B4,#REF!,5)</f>
        <v>#REF!</v>
      </c>
      <c r="J4" s="14" t="e">
        <f>VLOOKUP(B4,#REF!,6)</f>
        <v>#REF!</v>
      </c>
      <c r="K4" s="22" t="e">
        <f>VLOOKUP(B4,#REF!,7)</f>
        <v>#REF!</v>
      </c>
      <c r="M4" s="30" t="e">
        <f t="shared" si="0"/>
        <v>#REF!</v>
      </c>
      <c r="N4" s="35" t="e">
        <f t="shared" si="1"/>
        <v>#REF!</v>
      </c>
      <c r="O4" s="21" t="e">
        <f t="shared" si="2"/>
        <v>#REF!</v>
      </c>
      <c r="P4" s="36" t="e">
        <f t="shared" si="3"/>
        <v>#REF!</v>
      </c>
    </row>
    <row r="5" spans="2:16" ht="14.4" x14ac:dyDescent="0.3">
      <c r="B5" s="17" t="s">
        <v>5</v>
      </c>
      <c r="C5" s="21" t="e">
        <f>VLOOKUP(B5,#REF!,2)</f>
        <v>#REF!</v>
      </c>
      <c r="D5" s="21" t="e">
        <f>VLOOKUP(B5,#REF!,3)</f>
        <v>#REF!</v>
      </c>
      <c r="E5" s="14" t="e">
        <f>VLOOKUP(B5,#REF!,4)</f>
        <v>#REF!</v>
      </c>
      <c r="F5" s="22" t="e">
        <f>VLOOKUP(B5,#REF!,5)</f>
        <v>#REF!</v>
      </c>
      <c r="H5" s="30" t="e">
        <f>VLOOKUP(B5,#REF!,4)</f>
        <v>#REF!</v>
      </c>
      <c r="I5" s="21" t="e">
        <f>VLOOKUP(B5,#REF!,5)</f>
        <v>#REF!</v>
      </c>
      <c r="J5" s="14" t="e">
        <f>VLOOKUP(B5,#REF!,6)</f>
        <v>#REF!</v>
      </c>
      <c r="K5" s="22" t="e">
        <f>VLOOKUP(B5,#REF!,7)</f>
        <v>#REF!</v>
      </c>
      <c r="M5" s="30" t="e">
        <f t="shared" si="0"/>
        <v>#REF!</v>
      </c>
      <c r="N5" s="35" t="e">
        <f t="shared" si="1"/>
        <v>#REF!</v>
      </c>
      <c r="O5" s="21" t="e">
        <f t="shared" si="2"/>
        <v>#REF!</v>
      </c>
      <c r="P5" s="36" t="e">
        <f t="shared" si="3"/>
        <v>#REF!</v>
      </c>
    </row>
    <row r="6" spans="2:16" ht="14.4" x14ac:dyDescent="0.3">
      <c r="B6" s="17" t="s">
        <v>19</v>
      </c>
      <c r="C6" s="21" t="e">
        <f>VLOOKUP(B6,#REF!,2)</f>
        <v>#REF!</v>
      </c>
      <c r="D6" s="21" t="e">
        <f>VLOOKUP(B6,#REF!,3)</f>
        <v>#REF!</v>
      </c>
      <c r="E6" s="14" t="e">
        <f>VLOOKUP(B6,#REF!,4)</f>
        <v>#REF!</v>
      </c>
      <c r="F6" s="22" t="e">
        <f>VLOOKUP(B6,#REF!,5)</f>
        <v>#REF!</v>
      </c>
      <c r="H6" s="30" t="e">
        <f>VLOOKUP(B6,#REF!,4)</f>
        <v>#REF!</v>
      </c>
      <c r="I6" s="21" t="e">
        <f>VLOOKUP(B6,#REF!,5)</f>
        <v>#REF!</v>
      </c>
      <c r="J6" s="14" t="e">
        <f>VLOOKUP(B6,#REF!,6)</f>
        <v>#REF!</v>
      </c>
      <c r="K6" s="22" t="e">
        <f>VLOOKUP(B6,#REF!,7)</f>
        <v>#REF!</v>
      </c>
      <c r="M6" s="30" t="e">
        <f t="shared" si="0"/>
        <v>#REF!</v>
      </c>
      <c r="N6" s="35" t="e">
        <f t="shared" si="1"/>
        <v>#REF!</v>
      </c>
      <c r="O6" s="21" t="e">
        <f t="shared" si="2"/>
        <v>#REF!</v>
      </c>
      <c r="P6" s="36" t="e">
        <f t="shared" si="3"/>
        <v>#REF!</v>
      </c>
    </row>
    <row r="7" spans="2:16" ht="14.4" x14ac:dyDescent="0.3">
      <c r="B7" s="17" t="s">
        <v>6</v>
      </c>
      <c r="C7" s="21" t="e">
        <f>VLOOKUP(B7,#REF!,2)</f>
        <v>#REF!</v>
      </c>
      <c r="D7" s="21" t="e">
        <f>VLOOKUP(B7,#REF!,3)</f>
        <v>#REF!</v>
      </c>
      <c r="E7" s="14" t="e">
        <f>VLOOKUP(B7,#REF!,4)</f>
        <v>#REF!</v>
      </c>
      <c r="F7" s="22" t="e">
        <f>VLOOKUP(B7,#REF!,5)</f>
        <v>#REF!</v>
      </c>
      <c r="H7" s="30" t="e">
        <f>VLOOKUP(B7,#REF!,4)</f>
        <v>#REF!</v>
      </c>
      <c r="I7" s="21" t="e">
        <f>VLOOKUP(B7,#REF!,5)</f>
        <v>#REF!</v>
      </c>
      <c r="J7" s="14" t="e">
        <f>VLOOKUP(B7,#REF!,6)</f>
        <v>#REF!</v>
      </c>
      <c r="K7" s="22" t="e">
        <f>VLOOKUP(B7,#REF!,7)</f>
        <v>#REF!</v>
      </c>
      <c r="M7" s="30" t="e">
        <f t="shared" si="0"/>
        <v>#REF!</v>
      </c>
      <c r="N7" s="35" t="e">
        <f t="shared" si="1"/>
        <v>#REF!</v>
      </c>
      <c r="O7" s="21" t="e">
        <f t="shared" si="2"/>
        <v>#REF!</v>
      </c>
      <c r="P7" s="36" t="e">
        <f t="shared" si="3"/>
        <v>#REF!</v>
      </c>
    </row>
    <row r="8" spans="2:16" ht="14.4" x14ac:dyDescent="0.3">
      <c r="B8" s="17" t="s">
        <v>7</v>
      </c>
      <c r="C8" s="21" t="e">
        <f>VLOOKUP(B8,#REF!,2)</f>
        <v>#REF!</v>
      </c>
      <c r="D8" s="21" t="e">
        <f>VLOOKUP(B8,#REF!,3)</f>
        <v>#REF!</v>
      </c>
      <c r="E8" s="14" t="e">
        <f>VLOOKUP(B8,#REF!,4)</f>
        <v>#REF!</v>
      </c>
      <c r="F8" s="22" t="e">
        <f>VLOOKUP(B8,#REF!,5)</f>
        <v>#REF!</v>
      </c>
      <c r="H8" s="30" t="e">
        <f>VLOOKUP(B8,#REF!,4)</f>
        <v>#REF!</v>
      </c>
      <c r="I8" s="21" t="e">
        <f>VLOOKUP(B8,#REF!,5)</f>
        <v>#REF!</v>
      </c>
      <c r="J8" s="14" t="e">
        <f>VLOOKUP(B8,#REF!,6)</f>
        <v>#REF!</v>
      </c>
      <c r="K8" s="22" t="e">
        <f>VLOOKUP(B8,#REF!,7)</f>
        <v>#REF!</v>
      </c>
      <c r="M8" s="30" t="e">
        <f t="shared" si="0"/>
        <v>#REF!</v>
      </c>
      <c r="N8" s="35" t="e">
        <f t="shared" si="1"/>
        <v>#REF!</v>
      </c>
      <c r="O8" s="21" t="e">
        <f t="shared" si="2"/>
        <v>#REF!</v>
      </c>
      <c r="P8" s="36" t="e">
        <f t="shared" si="3"/>
        <v>#REF!</v>
      </c>
    </row>
    <row r="9" spans="2:16" ht="14.4" x14ac:dyDescent="0.3">
      <c r="B9" s="17" t="s">
        <v>41</v>
      </c>
      <c r="C9" s="21" t="e">
        <f>VLOOKUP(B9,#REF!,2)</f>
        <v>#REF!</v>
      </c>
      <c r="D9" s="21" t="e">
        <f>VLOOKUP(B9,#REF!,3)</f>
        <v>#REF!</v>
      </c>
      <c r="E9" s="14" t="e">
        <f>VLOOKUP(B9,#REF!,4)</f>
        <v>#REF!</v>
      </c>
      <c r="F9" s="22" t="e">
        <f>VLOOKUP(B9,#REF!,5)</f>
        <v>#REF!</v>
      </c>
      <c r="H9" s="30" t="e">
        <f>VLOOKUP(B9,#REF!,4)</f>
        <v>#REF!</v>
      </c>
      <c r="I9" s="21" t="e">
        <f>VLOOKUP(B9,#REF!,5)</f>
        <v>#REF!</v>
      </c>
      <c r="J9" s="14" t="e">
        <f>VLOOKUP(B9,#REF!,6)</f>
        <v>#REF!</v>
      </c>
      <c r="K9" s="22" t="e">
        <f>VLOOKUP(B9,#REF!,7)</f>
        <v>#REF!</v>
      </c>
      <c r="M9" s="30" t="e">
        <f t="shared" si="0"/>
        <v>#REF!</v>
      </c>
      <c r="N9" s="35" t="e">
        <f t="shared" si="1"/>
        <v>#REF!</v>
      </c>
      <c r="O9" s="21" t="e">
        <f t="shared" si="2"/>
        <v>#REF!</v>
      </c>
      <c r="P9" s="36" t="e">
        <f t="shared" si="3"/>
        <v>#REF!</v>
      </c>
    </row>
    <row r="10" spans="2:16" ht="14.4" x14ac:dyDescent="0.3">
      <c r="B10" s="17" t="s">
        <v>8</v>
      </c>
      <c r="C10" s="21" t="e">
        <f>VLOOKUP(B10,#REF!,2)</f>
        <v>#REF!</v>
      </c>
      <c r="D10" s="21" t="e">
        <f>VLOOKUP(B10,#REF!,3)</f>
        <v>#REF!</v>
      </c>
      <c r="E10" s="14" t="e">
        <f>VLOOKUP(B10,#REF!,4)</f>
        <v>#REF!</v>
      </c>
      <c r="F10" s="22" t="e">
        <f>VLOOKUP(B10,#REF!,5)</f>
        <v>#REF!</v>
      </c>
      <c r="H10" s="30" t="e">
        <f>VLOOKUP(B10,#REF!,4)</f>
        <v>#REF!</v>
      </c>
      <c r="I10" s="21" t="e">
        <f>VLOOKUP(B10,#REF!,5)</f>
        <v>#REF!</v>
      </c>
      <c r="J10" s="14" t="e">
        <f>VLOOKUP(B10,#REF!,6)</f>
        <v>#REF!</v>
      </c>
      <c r="K10" s="22" t="e">
        <f>VLOOKUP(B10,#REF!,7)</f>
        <v>#REF!</v>
      </c>
      <c r="M10" s="30" t="e">
        <f t="shared" si="0"/>
        <v>#REF!</v>
      </c>
      <c r="N10" s="35" t="e">
        <f t="shared" si="1"/>
        <v>#REF!</v>
      </c>
      <c r="O10" s="21" t="e">
        <f t="shared" si="2"/>
        <v>#REF!</v>
      </c>
      <c r="P10" s="36" t="e">
        <f t="shared" si="3"/>
        <v>#REF!</v>
      </c>
    </row>
    <row r="11" spans="2:16" ht="14.4" x14ac:dyDescent="0.3">
      <c r="B11" s="17" t="s">
        <v>20</v>
      </c>
      <c r="C11" s="21" t="e">
        <f>VLOOKUP(B11,#REF!,2)</f>
        <v>#REF!</v>
      </c>
      <c r="D11" s="21" t="e">
        <f>VLOOKUP(B11,#REF!,3)</f>
        <v>#REF!</v>
      </c>
      <c r="E11" s="14" t="e">
        <f>VLOOKUP(B11,#REF!,4)</f>
        <v>#REF!</v>
      </c>
      <c r="F11" s="22" t="e">
        <f>VLOOKUP(B11,#REF!,5)</f>
        <v>#REF!</v>
      </c>
      <c r="H11" s="30" t="e">
        <f>VLOOKUP(B11,#REF!,4)</f>
        <v>#REF!</v>
      </c>
      <c r="I11" s="21" t="e">
        <f>VLOOKUP(B11,#REF!,5)</f>
        <v>#REF!</v>
      </c>
      <c r="J11" s="14" t="e">
        <f>VLOOKUP(B11,#REF!,6)</f>
        <v>#REF!</v>
      </c>
      <c r="K11" s="22" t="e">
        <f>VLOOKUP(B11,#REF!,7)</f>
        <v>#REF!</v>
      </c>
      <c r="M11" s="30" t="e">
        <f t="shared" si="0"/>
        <v>#REF!</v>
      </c>
      <c r="N11" s="35" t="e">
        <f t="shared" si="1"/>
        <v>#REF!</v>
      </c>
      <c r="O11" s="21" t="e">
        <f t="shared" si="2"/>
        <v>#REF!</v>
      </c>
      <c r="P11" s="36" t="e">
        <f t="shared" si="3"/>
        <v>#REF!</v>
      </c>
    </row>
    <row r="12" spans="2:16" ht="14.4" x14ac:dyDescent="0.3">
      <c r="B12" s="17" t="s">
        <v>42</v>
      </c>
      <c r="C12" s="21" t="e">
        <f>VLOOKUP(B12,#REF!,2)</f>
        <v>#REF!</v>
      </c>
      <c r="D12" s="21" t="e">
        <f>VLOOKUP(B12,#REF!,3)</f>
        <v>#REF!</v>
      </c>
      <c r="E12" s="14" t="e">
        <f>VLOOKUP(B12,#REF!,4)</f>
        <v>#REF!</v>
      </c>
      <c r="F12" s="22" t="e">
        <f>VLOOKUP(B12,#REF!,5)</f>
        <v>#REF!</v>
      </c>
      <c r="H12" s="30" t="e">
        <f>VLOOKUP(B12,#REF!,4)</f>
        <v>#REF!</v>
      </c>
      <c r="I12" s="21" t="e">
        <f>VLOOKUP(B12,#REF!,5)</f>
        <v>#REF!</v>
      </c>
      <c r="J12" s="14" t="e">
        <f>VLOOKUP(B12,#REF!,6)</f>
        <v>#REF!</v>
      </c>
      <c r="K12" s="22" t="e">
        <f>VLOOKUP(B12,#REF!,7)</f>
        <v>#REF!</v>
      </c>
      <c r="M12" s="30" t="e">
        <f t="shared" si="0"/>
        <v>#REF!</v>
      </c>
      <c r="N12" s="35" t="e">
        <f t="shared" si="1"/>
        <v>#REF!</v>
      </c>
      <c r="O12" s="21" t="e">
        <f t="shared" si="2"/>
        <v>#REF!</v>
      </c>
      <c r="P12" s="36" t="e">
        <f t="shared" si="3"/>
        <v>#REF!</v>
      </c>
    </row>
    <row r="13" spans="2:16" ht="14.4" x14ac:dyDescent="0.3">
      <c r="B13" s="17" t="s">
        <v>9</v>
      </c>
      <c r="C13" s="21" t="e">
        <f>VLOOKUP(B13,#REF!,2)</f>
        <v>#REF!</v>
      </c>
      <c r="D13" s="21" t="e">
        <f>VLOOKUP(B13,#REF!,3)</f>
        <v>#REF!</v>
      </c>
      <c r="E13" s="14" t="e">
        <f>VLOOKUP(B13,#REF!,4)</f>
        <v>#REF!</v>
      </c>
      <c r="F13" s="22" t="e">
        <f>VLOOKUP(B13,#REF!,5)</f>
        <v>#REF!</v>
      </c>
      <c r="H13" s="30" t="e">
        <f>VLOOKUP(B13,#REF!,4)</f>
        <v>#REF!</v>
      </c>
      <c r="I13" s="21" t="e">
        <f>VLOOKUP(B13,#REF!,5)</f>
        <v>#REF!</v>
      </c>
      <c r="J13" s="14" t="e">
        <f>VLOOKUP(B13,#REF!,6)</f>
        <v>#REF!</v>
      </c>
      <c r="K13" s="22" t="e">
        <f>VLOOKUP(B13,#REF!,7)</f>
        <v>#REF!</v>
      </c>
      <c r="M13" s="30" t="e">
        <f t="shared" si="0"/>
        <v>#REF!</v>
      </c>
      <c r="N13" s="35" t="e">
        <f t="shared" si="1"/>
        <v>#REF!</v>
      </c>
      <c r="O13" s="21" t="e">
        <f t="shared" si="2"/>
        <v>#REF!</v>
      </c>
      <c r="P13" s="36" t="e">
        <f t="shared" si="3"/>
        <v>#REF!</v>
      </c>
    </row>
    <row r="14" spans="2:16" ht="14.4" x14ac:dyDescent="0.3">
      <c r="B14" s="17" t="s">
        <v>21</v>
      </c>
      <c r="C14" s="21" t="e">
        <f>VLOOKUP(B14,#REF!,2)</f>
        <v>#REF!</v>
      </c>
      <c r="D14" s="21" t="e">
        <f>VLOOKUP(B14,#REF!,3)</f>
        <v>#REF!</v>
      </c>
      <c r="E14" s="14" t="e">
        <f>VLOOKUP(B14,#REF!,4)</f>
        <v>#REF!</v>
      </c>
      <c r="F14" s="22" t="e">
        <f>VLOOKUP(B14,#REF!,5)</f>
        <v>#REF!</v>
      </c>
      <c r="H14" s="30" t="e">
        <f>VLOOKUP(B14,#REF!,4)</f>
        <v>#REF!</v>
      </c>
      <c r="I14" s="21" t="e">
        <f>VLOOKUP(B14,#REF!,5)</f>
        <v>#REF!</v>
      </c>
      <c r="J14" s="14" t="e">
        <f>VLOOKUP(B14,#REF!,6)</f>
        <v>#REF!</v>
      </c>
      <c r="K14" s="22" t="e">
        <f>VLOOKUP(B14,#REF!,7)</f>
        <v>#REF!</v>
      </c>
      <c r="M14" s="30" t="e">
        <f t="shared" si="0"/>
        <v>#REF!</v>
      </c>
      <c r="N14" s="35" t="e">
        <f t="shared" si="1"/>
        <v>#REF!</v>
      </c>
      <c r="O14" s="21" t="e">
        <f t="shared" si="2"/>
        <v>#REF!</v>
      </c>
      <c r="P14" s="36" t="e">
        <f t="shared" si="3"/>
        <v>#REF!</v>
      </c>
    </row>
    <row r="15" spans="2:16" ht="14.4" x14ac:dyDescent="0.3">
      <c r="B15" s="17" t="s">
        <v>22</v>
      </c>
      <c r="C15" s="21" t="e">
        <f>VLOOKUP(B15,#REF!,2)</f>
        <v>#REF!</v>
      </c>
      <c r="D15" s="21" t="e">
        <f>VLOOKUP(B15,#REF!,3)</f>
        <v>#REF!</v>
      </c>
      <c r="E15" s="14" t="e">
        <f>VLOOKUP(B15,#REF!,4)</f>
        <v>#REF!</v>
      </c>
      <c r="F15" s="22" t="e">
        <f>VLOOKUP(B15,#REF!,5)</f>
        <v>#REF!</v>
      </c>
      <c r="H15" s="30" t="e">
        <f>VLOOKUP(B15,#REF!,4)</f>
        <v>#REF!</v>
      </c>
      <c r="I15" s="21" t="e">
        <f>VLOOKUP(B15,#REF!,5)</f>
        <v>#REF!</v>
      </c>
      <c r="J15" s="14" t="e">
        <f>VLOOKUP(B15,#REF!,6)</f>
        <v>#REF!</v>
      </c>
      <c r="K15" s="22" t="e">
        <f>VLOOKUP(B15,#REF!,7)</f>
        <v>#REF!</v>
      </c>
      <c r="M15" s="30" t="e">
        <f t="shared" si="0"/>
        <v>#REF!</v>
      </c>
      <c r="N15" s="35" t="e">
        <f t="shared" si="1"/>
        <v>#REF!</v>
      </c>
      <c r="O15" s="21" t="e">
        <f t="shared" si="2"/>
        <v>#REF!</v>
      </c>
      <c r="P15" s="36" t="e">
        <f t="shared" si="3"/>
        <v>#REF!</v>
      </c>
    </row>
    <row r="16" spans="2:16" ht="14.4" x14ac:dyDescent="0.3">
      <c r="B16" s="17" t="s">
        <v>10</v>
      </c>
      <c r="C16" s="21" t="e">
        <f>VLOOKUP(B16,#REF!,2)</f>
        <v>#REF!</v>
      </c>
      <c r="D16" s="21" t="e">
        <f>VLOOKUP(B16,#REF!,3)</f>
        <v>#REF!</v>
      </c>
      <c r="E16" s="14" t="e">
        <f>VLOOKUP(B16,#REF!,4)</f>
        <v>#REF!</v>
      </c>
      <c r="F16" s="22" t="e">
        <f>VLOOKUP(B16,#REF!,5)</f>
        <v>#REF!</v>
      </c>
      <c r="H16" s="30" t="e">
        <f>VLOOKUP(B16,#REF!,4)</f>
        <v>#REF!</v>
      </c>
      <c r="I16" s="21" t="e">
        <f>VLOOKUP(B16,#REF!,5)</f>
        <v>#REF!</v>
      </c>
      <c r="J16" s="14" t="e">
        <f>VLOOKUP(B16,#REF!,6)</f>
        <v>#REF!</v>
      </c>
      <c r="K16" s="22" t="e">
        <f>VLOOKUP(B16,#REF!,7)</f>
        <v>#REF!</v>
      </c>
      <c r="M16" s="30" t="e">
        <f t="shared" si="0"/>
        <v>#REF!</v>
      </c>
      <c r="N16" s="35" t="e">
        <f t="shared" si="1"/>
        <v>#REF!</v>
      </c>
      <c r="O16" s="21" t="e">
        <f t="shared" si="2"/>
        <v>#REF!</v>
      </c>
      <c r="P16" s="36" t="e">
        <f t="shared" si="3"/>
        <v>#REF!</v>
      </c>
    </row>
    <row r="17" spans="2:16" ht="14.4" x14ac:dyDescent="0.3">
      <c r="B17" s="17" t="s">
        <v>43</v>
      </c>
      <c r="C17" s="21" t="e">
        <f>VLOOKUP(B17,#REF!,2)</f>
        <v>#REF!</v>
      </c>
      <c r="D17" s="21" t="e">
        <f>VLOOKUP(B17,#REF!,3)</f>
        <v>#REF!</v>
      </c>
      <c r="E17" s="14" t="e">
        <f>VLOOKUP(B17,#REF!,4)</f>
        <v>#REF!</v>
      </c>
      <c r="F17" s="22" t="e">
        <f>VLOOKUP(B17,#REF!,5)</f>
        <v>#REF!</v>
      </c>
      <c r="H17" s="30" t="e">
        <f>VLOOKUP(B17,#REF!,4)</f>
        <v>#REF!</v>
      </c>
      <c r="I17" s="21" t="e">
        <f>VLOOKUP(B17,#REF!,5)</f>
        <v>#REF!</v>
      </c>
      <c r="J17" s="14" t="e">
        <f>VLOOKUP(B17,#REF!,6)</f>
        <v>#REF!</v>
      </c>
      <c r="K17" s="22" t="e">
        <f>VLOOKUP(B17,#REF!,7)</f>
        <v>#REF!</v>
      </c>
      <c r="M17" s="30" t="e">
        <f t="shared" si="0"/>
        <v>#REF!</v>
      </c>
      <c r="N17" s="35" t="e">
        <f t="shared" si="1"/>
        <v>#REF!</v>
      </c>
      <c r="O17" s="21" t="e">
        <f t="shared" si="2"/>
        <v>#REF!</v>
      </c>
      <c r="P17" s="36" t="e">
        <f t="shared" si="3"/>
        <v>#REF!</v>
      </c>
    </row>
    <row r="18" spans="2:16" ht="14.4" x14ac:dyDescent="0.3">
      <c r="B18" s="17" t="s">
        <v>23</v>
      </c>
      <c r="C18" s="21" t="e">
        <f>VLOOKUP(B18,#REF!,2)</f>
        <v>#REF!</v>
      </c>
      <c r="D18" s="21" t="e">
        <f>VLOOKUP(B18,#REF!,3)</f>
        <v>#REF!</v>
      </c>
      <c r="E18" s="14" t="e">
        <f>VLOOKUP(B18,#REF!,4)</f>
        <v>#REF!</v>
      </c>
      <c r="F18" s="22" t="e">
        <f>VLOOKUP(B18,#REF!,5)</f>
        <v>#REF!</v>
      </c>
      <c r="H18" s="30" t="e">
        <f>VLOOKUP(B18,#REF!,4)</f>
        <v>#REF!</v>
      </c>
      <c r="I18" s="21" t="e">
        <f>VLOOKUP(B18,#REF!,5)</f>
        <v>#REF!</v>
      </c>
      <c r="J18" s="14" t="e">
        <f>VLOOKUP(B18,#REF!,6)</f>
        <v>#REF!</v>
      </c>
      <c r="K18" s="22" t="e">
        <f>VLOOKUP(B18,#REF!,7)</f>
        <v>#REF!</v>
      </c>
      <c r="M18" s="30" t="e">
        <f t="shared" si="0"/>
        <v>#REF!</v>
      </c>
      <c r="N18" s="35" t="e">
        <f t="shared" si="1"/>
        <v>#REF!</v>
      </c>
      <c r="O18" s="21" t="e">
        <f t="shared" si="2"/>
        <v>#REF!</v>
      </c>
      <c r="P18" s="36" t="e">
        <f t="shared" si="3"/>
        <v>#REF!</v>
      </c>
    </row>
    <row r="19" spans="2:16" ht="14.4" x14ac:dyDescent="0.3">
      <c r="B19" s="17" t="s">
        <v>24</v>
      </c>
      <c r="C19" s="21" t="e">
        <f>VLOOKUP(B19,#REF!,2)</f>
        <v>#REF!</v>
      </c>
      <c r="D19" s="21" t="e">
        <f>VLOOKUP(B19,#REF!,3)</f>
        <v>#REF!</v>
      </c>
      <c r="E19" s="14" t="e">
        <f>VLOOKUP(B19,#REF!,4)</f>
        <v>#REF!</v>
      </c>
      <c r="F19" s="22" t="e">
        <f>VLOOKUP(B19,#REF!,5)</f>
        <v>#REF!</v>
      </c>
      <c r="H19" s="30" t="e">
        <f>VLOOKUP(B19,#REF!,4)</f>
        <v>#REF!</v>
      </c>
      <c r="I19" s="21" t="e">
        <f>VLOOKUP(B19,#REF!,5)</f>
        <v>#REF!</v>
      </c>
      <c r="J19" s="14" t="e">
        <f>VLOOKUP(B19,#REF!,6)</f>
        <v>#REF!</v>
      </c>
      <c r="K19" s="22" t="e">
        <f>VLOOKUP(B19,#REF!,7)</f>
        <v>#REF!</v>
      </c>
      <c r="M19" s="30" t="e">
        <f t="shared" si="0"/>
        <v>#REF!</v>
      </c>
      <c r="N19" s="35" t="e">
        <f t="shared" si="1"/>
        <v>#REF!</v>
      </c>
      <c r="O19" s="21" t="e">
        <f t="shared" si="2"/>
        <v>#REF!</v>
      </c>
      <c r="P19" s="36" t="e">
        <f t="shared" si="3"/>
        <v>#REF!</v>
      </c>
    </row>
    <row r="20" spans="2:16" ht="14.4" x14ac:dyDescent="0.3">
      <c r="B20" s="17" t="s">
        <v>11</v>
      </c>
      <c r="C20" s="21" t="e">
        <f>VLOOKUP(B20,#REF!,2)</f>
        <v>#REF!</v>
      </c>
      <c r="D20" s="21" t="e">
        <f>VLOOKUP(B20,#REF!,3)</f>
        <v>#REF!</v>
      </c>
      <c r="E20" s="14" t="e">
        <f>VLOOKUP(B20,#REF!,4)</f>
        <v>#REF!</v>
      </c>
      <c r="F20" s="22" t="e">
        <f>VLOOKUP(B20,#REF!,5)</f>
        <v>#REF!</v>
      </c>
      <c r="H20" s="30" t="e">
        <f>VLOOKUP(B20,#REF!,4)</f>
        <v>#REF!</v>
      </c>
      <c r="I20" s="21" t="e">
        <f>VLOOKUP(B20,#REF!,5)</f>
        <v>#REF!</v>
      </c>
      <c r="J20" s="14" t="e">
        <f>VLOOKUP(B20,#REF!,6)</f>
        <v>#REF!</v>
      </c>
      <c r="K20" s="22" t="e">
        <f>VLOOKUP(B20,#REF!,7)</f>
        <v>#REF!</v>
      </c>
      <c r="M20" s="30" t="e">
        <f t="shared" si="0"/>
        <v>#REF!</v>
      </c>
      <c r="N20" s="35" t="e">
        <f t="shared" si="1"/>
        <v>#REF!</v>
      </c>
      <c r="O20" s="21" t="e">
        <f t="shared" si="2"/>
        <v>#REF!</v>
      </c>
      <c r="P20" s="36" t="e">
        <f t="shared" si="3"/>
        <v>#REF!</v>
      </c>
    </row>
    <row r="21" spans="2:16" ht="14.4" x14ac:dyDescent="0.3">
      <c r="B21" s="17" t="s">
        <v>54</v>
      </c>
      <c r="C21" s="21" t="e">
        <f>VLOOKUP(B21,#REF!,2)</f>
        <v>#REF!</v>
      </c>
      <c r="D21" s="21" t="e">
        <f>VLOOKUP(B21,#REF!,3)</f>
        <v>#REF!</v>
      </c>
      <c r="E21" s="14" t="e">
        <f>VLOOKUP(B21,#REF!,4)</f>
        <v>#REF!</v>
      </c>
      <c r="F21" s="22" t="e">
        <f>VLOOKUP(B21,#REF!,5)</f>
        <v>#REF!</v>
      </c>
      <c r="H21" s="30" t="e">
        <f>VLOOKUP(B21,#REF!,4)</f>
        <v>#REF!</v>
      </c>
      <c r="I21" s="21" t="e">
        <f>VLOOKUP(B21,#REF!,5)</f>
        <v>#REF!</v>
      </c>
      <c r="J21" s="14" t="e">
        <f>VLOOKUP(B21,#REF!,6)</f>
        <v>#REF!</v>
      </c>
      <c r="K21" s="22" t="e">
        <f>VLOOKUP(B21,#REF!,7)</f>
        <v>#REF!</v>
      </c>
      <c r="M21" s="30" t="e">
        <f t="shared" si="0"/>
        <v>#REF!</v>
      </c>
      <c r="N21" s="35" t="e">
        <f t="shared" si="1"/>
        <v>#REF!</v>
      </c>
      <c r="O21" s="21" t="e">
        <f t="shared" si="2"/>
        <v>#REF!</v>
      </c>
      <c r="P21" s="36" t="e">
        <f t="shared" si="3"/>
        <v>#REF!</v>
      </c>
    </row>
    <row r="22" spans="2:16" ht="14.4" x14ac:dyDescent="0.3">
      <c r="B22" s="17" t="s">
        <v>25</v>
      </c>
      <c r="C22" s="21" t="e">
        <f>VLOOKUP(B22,#REF!,2)</f>
        <v>#REF!</v>
      </c>
      <c r="D22" s="21" t="e">
        <f>VLOOKUP(B22,#REF!,3)</f>
        <v>#REF!</v>
      </c>
      <c r="E22" s="14" t="e">
        <f>VLOOKUP(B22,#REF!,4)</f>
        <v>#REF!</v>
      </c>
      <c r="F22" s="22" t="e">
        <f>VLOOKUP(B22,#REF!,5)</f>
        <v>#REF!</v>
      </c>
      <c r="H22" s="30" t="e">
        <f>VLOOKUP(B22,#REF!,4)</f>
        <v>#REF!</v>
      </c>
      <c r="I22" s="21" t="e">
        <f>VLOOKUP(B22,#REF!,5)</f>
        <v>#REF!</v>
      </c>
      <c r="J22" s="14" t="e">
        <f>VLOOKUP(B22,#REF!,6)</f>
        <v>#REF!</v>
      </c>
      <c r="K22" s="22" t="e">
        <f>VLOOKUP(B22,#REF!,7)</f>
        <v>#REF!</v>
      </c>
      <c r="M22" s="30" t="e">
        <f t="shared" si="0"/>
        <v>#REF!</v>
      </c>
      <c r="N22" s="35" t="e">
        <f t="shared" si="1"/>
        <v>#REF!</v>
      </c>
      <c r="O22" s="21" t="e">
        <f t="shared" si="2"/>
        <v>#REF!</v>
      </c>
      <c r="P22" s="36" t="e">
        <f t="shared" si="3"/>
        <v>#REF!</v>
      </c>
    </row>
    <row r="23" spans="2:16" ht="14.4" x14ac:dyDescent="0.3">
      <c r="B23" s="17" t="s">
        <v>26</v>
      </c>
      <c r="C23" s="21" t="e">
        <f>VLOOKUP(B23,#REF!,2)</f>
        <v>#REF!</v>
      </c>
      <c r="D23" s="21" t="e">
        <f>VLOOKUP(B23,#REF!,3)</f>
        <v>#REF!</v>
      </c>
      <c r="E23" s="14" t="e">
        <f>VLOOKUP(B23,#REF!,4)</f>
        <v>#REF!</v>
      </c>
      <c r="F23" s="22" t="e">
        <f>VLOOKUP(B23,#REF!,5)</f>
        <v>#REF!</v>
      </c>
      <c r="H23" s="30" t="e">
        <f>VLOOKUP(B23,#REF!,4)</f>
        <v>#REF!</v>
      </c>
      <c r="I23" s="21" t="e">
        <f>VLOOKUP(B23,#REF!,5)</f>
        <v>#REF!</v>
      </c>
      <c r="J23" s="14" t="e">
        <f>VLOOKUP(B23,#REF!,6)</f>
        <v>#REF!</v>
      </c>
      <c r="K23" s="22" t="e">
        <f>VLOOKUP(B23,#REF!,7)</f>
        <v>#REF!</v>
      </c>
      <c r="M23" s="30" t="e">
        <f t="shared" si="0"/>
        <v>#REF!</v>
      </c>
      <c r="N23" s="35" t="e">
        <f t="shared" si="1"/>
        <v>#REF!</v>
      </c>
      <c r="O23" s="21" t="e">
        <f t="shared" si="2"/>
        <v>#REF!</v>
      </c>
      <c r="P23" s="36" t="e">
        <f t="shared" si="3"/>
        <v>#REF!</v>
      </c>
    </row>
    <row r="24" spans="2:16" ht="14.4" x14ac:dyDescent="0.3">
      <c r="B24" s="17" t="s">
        <v>12</v>
      </c>
      <c r="C24" s="21" t="e">
        <f>VLOOKUP(B24,#REF!,2)</f>
        <v>#REF!</v>
      </c>
      <c r="D24" s="21" t="e">
        <f>VLOOKUP(B24,#REF!,3)</f>
        <v>#REF!</v>
      </c>
      <c r="E24" s="14" t="e">
        <f>VLOOKUP(B24,#REF!,4)</f>
        <v>#REF!</v>
      </c>
      <c r="F24" s="22" t="e">
        <f>VLOOKUP(B24,#REF!,5)</f>
        <v>#REF!</v>
      </c>
      <c r="H24" s="30" t="e">
        <f>VLOOKUP(B24,#REF!,4)</f>
        <v>#REF!</v>
      </c>
      <c r="I24" s="21" t="e">
        <f>VLOOKUP(B24,#REF!,5)</f>
        <v>#REF!</v>
      </c>
      <c r="J24" s="14" t="e">
        <f>VLOOKUP(B24,#REF!,6)</f>
        <v>#REF!</v>
      </c>
      <c r="K24" s="22" t="e">
        <f>VLOOKUP(B24,#REF!,7)</f>
        <v>#REF!</v>
      </c>
      <c r="M24" s="30" t="e">
        <f t="shared" si="0"/>
        <v>#REF!</v>
      </c>
      <c r="N24" s="35" t="e">
        <f t="shared" si="1"/>
        <v>#REF!</v>
      </c>
      <c r="O24" s="21" t="e">
        <f t="shared" si="2"/>
        <v>#REF!</v>
      </c>
      <c r="P24" s="36" t="e">
        <f t="shared" si="3"/>
        <v>#REF!</v>
      </c>
    </row>
    <row r="25" spans="2:16" ht="14.4" x14ac:dyDescent="0.3">
      <c r="B25" s="17" t="s">
        <v>27</v>
      </c>
      <c r="C25" s="21" t="e">
        <f>VLOOKUP(B25,#REF!,2)</f>
        <v>#REF!</v>
      </c>
      <c r="D25" s="21" t="e">
        <f>VLOOKUP(B25,#REF!,3)</f>
        <v>#REF!</v>
      </c>
      <c r="E25" s="14" t="e">
        <f>VLOOKUP(B25,#REF!,4)</f>
        <v>#REF!</v>
      </c>
      <c r="F25" s="22" t="e">
        <f>VLOOKUP(B25,#REF!,5)</f>
        <v>#REF!</v>
      </c>
      <c r="H25" s="30" t="e">
        <f>VLOOKUP(B25,#REF!,4)</f>
        <v>#REF!</v>
      </c>
      <c r="I25" s="21" t="e">
        <f>VLOOKUP(B25,#REF!,5)</f>
        <v>#REF!</v>
      </c>
      <c r="J25" s="14" t="e">
        <f>VLOOKUP(B25,#REF!,6)</f>
        <v>#REF!</v>
      </c>
      <c r="K25" s="22" t="e">
        <f>VLOOKUP(B25,#REF!,7)</f>
        <v>#REF!</v>
      </c>
      <c r="M25" s="30" t="e">
        <f t="shared" si="0"/>
        <v>#REF!</v>
      </c>
      <c r="N25" s="35" t="e">
        <f t="shared" si="1"/>
        <v>#REF!</v>
      </c>
      <c r="O25" s="21" t="e">
        <f t="shared" si="2"/>
        <v>#REF!</v>
      </c>
      <c r="P25" s="36" t="e">
        <f t="shared" si="3"/>
        <v>#REF!</v>
      </c>
    </row>
    <row r="26" spans="2:16" ht="14.4" x14ac:dyDescent="0.3">
      <c r="B26" s="17" t="s">
        <v>28</v>
      </c>
      <c r="C26" s="21" t="e">
        <f>VLOOKUP(B26,#REF!,2)</f>
        <v>#REF!</v>
      </c>
      <c r="D26" s="21" t="e">
        <f>VLOOKUP(B26,#REF!,3)</f>
        <v>#REF!</v>
      </c>
      <c r="E26" s="14" t="e">
        <f>VLOOKUP(B26,#REF!,4)</f>
        <v>#REF!</v>
      </c>
      <c r="F26" s="22" t="e">
        <f>VLOOKUP(B26,#REF!,5)</f>
        <v>#REF!</v>
      </c>
      <c r="H26" s="30" t="e">
        <f>VLOOKUP(B26,#REF!,4)</f>
        <v>#REF!</v>
      </c>
      <c r="I26" s="21" t="e">
        <f>VLOOKUP(B26,#REF!,5)</f>
        <v>#REF!</v>
      </c>
      <c r="J26" s="14" t="e">
        <f>VLOOKUP(B26,#REF!,6)</f>
        <v>#REF!</v>
      </c>
      <c r="K26" s="22" t="e">
        <f>VLOOKUP(B26,#REF!,7)</f>
        <v>#REF!</v>
      </c>
      <c r="M26" s="30" t="e">
        <f t="shared" si="0"/>
        <v>#REF!</v>
      </c>
      <c r="N26" s="35" t="e">
        <f t="shared" si="1"/>
        <v>#REF!</v>
      </c>
      <c r="O26" s="21" t="e">
        <f t="shared" si="2"/>
        <v>#REF!</v>
      </c>
      <c r="P26" s="36" t="e">
        <f t="shared" si="3"/>
        <v>#REF!</v>
      </c>
    </row>
    <row r="27" spans="2:16" ht="14.4" x14ac:dyDescent="0.3">
      <c r="B27" s="17" t="s">
        <v>13</v>
      </c>
      <c r="C27" s="21" t="e">
        <f>VLOOKUP(B27,#REF!,2)</f>
        <v>#REF!</v>
      </c>
      <c r="D27" s="21" t="e">
        <f>VLOOKUP(B27,#REF!,3)</f>
        <v>#REF!</v>
      </c>
      <c r="E27" s="14" t="e">
        <f>VLOOKUP(B27,#REF!,4)</f>
        <v>#REF!</v>
      </c>
      <c r="F27" s="22" t="e">
        <f>VLOOKUP(B27,#REF!,5)</f>
        <v>#REF!</v>
      </c>
      <c r="H27" s="30" t="e">
        <f>VLOOKUP(B27,#REF!,4)</f>
        <v>#REF!</v>
      </c>
      <c r="I27" s="21" t="e">
        <f>VLOOKUP(B27,#REF!,5)</f>
        <v>#REF!</v>
      </c>
      <c r="J27" s="14" t="e">
        <f>VLOOKUP(B27,#REF!,6)</f>
        <v>#REF!</v>
      </c>
      <c r="K27" s="22" t="e">
        <f>VLOOKUP(B27,#REF!,7)</f>
        <v>#REF!</v>
      </c>
      <c r="M27" s="30" t="e">
        <f t="shared" si="0"/>
        <v>#REF!</v>
      </c>
      <c r="N27" s="35" t="e">
        <f t="shared" si="1"/>
        <v>#REF!</v>
      </c>
      <c r="O27" s="21" t="e">
        <f t="shared" si="2"/>
        <v>#REF!</v>
      </c>
      <c r="P27" s="36" t="e">
        <f t="shared" si="3"/>
        <v>#REF!</v>
      </c>
    </row>
    <row r="28" spans="2:16" ht="14.4" x14ac:dyDescent="0.3">
      <c r="B28" s="17" t="s">
        <v>14</v>
      </c>
      <c r="C28" s="21" t="e">
        <f>VLOOKUP(B28,#REF!,2)</f>
        <v>#REF!</v>
      </c>
      <c r="D28" s="21" t="e">
        <f>VLOOKUP(B28,#REF!,3)</f>
        <v>#REF!</v>
      </c>
      <c r="E28" s="14" t="e">
        <f>VLOOKUP(B28,#REF!,4)</f>
        <v>#REF!</v>
      </c>
      <c r="F28" s="22" t="e">
        <f>VLOOKUP(B28,#REF!,5)</f>
        <v>#REF!</v>
      </c>
      <c r="H28" s="30" t="e">
        <f>VLOOKUP(B28,#REF!,4)</f>
        <v>#REF!</v>
      </c>
      <c r="I28" s="21" t="e">
        <f>VLOOKUP(B28,#REF!,5)</f>
        <v>#REF!</v>
      </c>
      <c r="J28" s="14" t="e">
        <f>VLOOKUP(B28,#REF!,6)</f>
        <v>#REF!</v>
      </c>
      <c r="K28" s="22" t="e">
        <f>VLOOKUP(B28,#REF!,7)</f>
        <v>#REF!</v>
      </c>
      <c r="M28" s="30" t="e">
        <f t="shared" si="0"/>
        <v>#REF!</v>
      </c>
      <c r="N28" s="35" t="e">
        <f t="shared" si="1"/>
        <v>#REF!</v>
      </c>
      <c r="O28" s="21" t="e">
        <f t="shared" si="2"/>
        <v>#REF!</v>
      </c>
      <c r="P28" s="36" t="e">
        <f t="shared" si="3"/>
        <v>#REF!</v>
      </c>
    </row>
    <row r="29" spans="2:16" ht="14.4" x14ac:dyDescent="0.3">
      <c r="B29" s="17" t="s">
        <v>44</v>
      </c>
      <c r="C29" s="21" t="e">
        <f>VLOOKUP(B29,#REF!,2)</f>
        <v>#REF!</v>
      </c>
      <c r="D29" s="21" t="e">
        <f>VLOOKUP(B29,#REF!,3)</f>
        <v>#REF!</v>
      </c>
      <c r="E29" s="14" t="e">
        <f>VLOOKUP(B29,#REF!,4)</f>
        <v>#REF!</v>
      </c>
      <c r="F29" s="22" t="e">
        <f>VLOOKUP(B29,#REF!,5)</f>
        <v>#REF!</v>
      </c>
      <c r="H29" s="30" t="e">
        <f>VLOOKUP(B29,#REF!,4)</f>
        <v>#REF!</v>
      </c>
      <c r="I29" s="21" t="e">
        <f>VLOOKUP(B29,#REF!,5)</f>
        <v>#REF!</v>
      </c>
      <c r="J29" s="14" t="e">
        <f>VLOOKUP(B29,#REF!,6)</f>
        <v>#REF!</v>
      </c>
      <c r="K29" s="22" t="e">
        <f>VLOOKUP(B29,#REF!,7)</f>
        <v>#REF!</v>
      </c>
      <c r="M29" s="30" t="e">
        <f t="shared" si="0"/>
        <v>#REF!</v>
      </c>
      <c r="N29" s="35" t="e">
        <f t="shared" si="1"/>
        <v>#REF!</v>
      </c>
      <c r="O29" s="21" t="e">
        <f t="shared" si="2"/>
        <v>#REF!</v>
      </c>
      <c r="P29" s="36" t="e">
        <f t="shared" si="3"/>
        <v>#REF!</v>
      </c>
    </row>
    <row r="30" spans="2:16" ht="14.4" x14ac:dyDescent="0.3">
      <c r="B30" s="17" t="s">
        <v>29</v>
      </c>
      <c r="C30" s="21" t="e">
        <f>VLOOKUP(B30,#REF!,2)</f>
        <v>#REF!</v>
      </c>
      <c r="D30" s="21" t="e">
        <f>VLOOKUP(B30,#REF!,3)</f>
        <v>#REF!</v>
      </c>
      <c r="E30" s="14" t="e">
        <f>VLOOKUP(B30,#REF!,4)</f>
        <v>#REF!</v>
      </c>
      <c r="F30" s="22" t="e">
        <f>VLOOKUP(B30,#REF!,5)</f>
        <v>#REF!</v>
      </c>
      <c r="H30" s="30" t="e">
        <f>VLOOKUP(B30,#REF!,4)</f>
        <v>#REF!</v>
      </c>
      <c r="I30" s="21" t="e">
        <f>VLOOKUP(B30,#REF!,5)</f>
        <v>#REF!</v>
      </c>
      <c r="J30" s="14" t="e">
        <f>VLOOKUP(B30,#REF!,6)</f>
        <v>#REF!</v>
      </c>
      <c r="K30" s="22" t="e">
        <f>VLOOKUP(B30,#REF!,7)</f>
        <v>#REF!</v>
      </c>
      <c r="M30" s="30" t="e">
        <f t="shared" si="0"/>
        <v>#REF!</v>
      </c>
      <c r="N30" s="35" t="e">
        <f t="shared" si="1"/>
        <v>#REF!</v>
      </c>
      <c r="O30" s="21" t="e">
        <f t="shared" si="2"/>
        <v>#REF!</v>
      </c>
      <c r="P30" s="36" t="e">
        <f t="shared" si="3"/>
        <v>#REF!</v>
      </c>
    </row>
    <row r="31" spans="2:16" ht="14.4" x14ac:dyDescent="0.3">
      <c r="B31" s="17" t="s">
        <v>30</v>
      </c>
      <c r="C31" s="21" t="e">
        <f>VLOOKUP(B31,#REF!,2)</f>
        <v>#REF!</v>
      </c>
      <c r="D31" s="21" t="e">
        <f>VLOOKUP(B31,#REF!,3)</f>
        <v>#REF!</v>
      </c>
      <c r="E31" s="14" t="e">
        <f>VLOOKUP(B31,#REF!,4)</f>
        <v>#REF!</v>
      </c>
      <c r="F31" s="22" t="e">
        <f>VLOOKUP(B31,#REF!,5)</f>
        <v>#REF!</v>
      </c>
      <c r="H31" s="30" t="e">
        <f>VLOOKUP(B31,#REF!,4)</f>
        <v>#REF!</v>
      </c>
      <c r="I31" s="21" t="e">
        <f>VLOOKUP(B31,#REF!,5)</f>
        <v>#REF!</v>
      </c>
      <c r="J31" s="14" t="e">
        <f>VLOOKUP(B31,#REF!,6)</f>
        <v>#REF!</v>
      </c>
      <c r="K31" s="22" t="e">
        <f>VLOOKUP(B31,#REF!,7)</f>
        <v>#REF!</v>
      </c>
      <c r="M31" s="30" t="e">
        <f t="shared" si="0"/>
        <v>#REF!</v>
      </c>
      <c r="N31" s="35" t="e">
        <f t="shared" si="1"/>
        <v>#REF!</v>
      </c>
      <c r="O31" s="21" t="e">
        <f t="shared" si="2"/>
        <v>#REF!</v>
      </c>
      <c r="P31" s="36" t="e">
        <f t="shared" si="3"/>
        <v>#REF!</v>
      </c>
    </row>
    <row r="32" spans="2:16" ht="14.4" x14ac:dyDescent="0.3">
      <c r="B32" s="17" t="s">
        <v>55</v>
      </c>
      <c r="C32" s="21" t="e">
        <f>VLOOKUP(B32,#REF!,2)</f>
        <v>#REF!</v>
      </c>
      <c r="D32" s="21" t="e">
        <f>VLOOKUP(B32,#REF!,3)</f>
        <v>#REF!</v>
      </c>
      <c r="E32" s="14" t="e">
        <f>VLOOKUP(B32,#REF!,4)</f>
        <v>#REF!</v>
      </c>
      <c r="F32" s="22" t="e">
        <f>VLOOKUP(B32,#REF!,5)</f>
        <v>#REF!</v>
      </c>
      <c r="H32" s="30" t="e">
        <f>VLOOKUP(B32,#REF!,4)</f>
        <v>#REF!</v>
      </c>
      <c r="I32" s="21" t="e">
        <f>VLOOKUP(B32,#REF!,5)</f>
        <v>#REF!</v>
      </c>
      <c r="J32" s="14" t="e">
        <f>VLOOKUP(B32,#REF!,6)</f>
        <v>#REF!</v>
      </c>
      <c r="K32" s="22" t="e">
        <f>VLOOKUP(B32,#REF!,7)</f>
        <v>#REF!</v>
      </c>
      <c r="M32" s="30" t="e">
        <f t="shared" si="0"/>
        <v>#REF!</v>
      </c>
      <c r="N32" s="35" t="e">
        <f t="shared" si="1"/>
        <v>#REF!</v>
      </c>
      <c r="O32" s="21" t="e">
        <f t="shared" si="2"/>
        <v>#REF!</v>
      </c>
      <c r="P32" s="36" t="e">
        <f t="shared" si="3"/>
        <v>#REF!</v>
      </c>
    </row>
    <row r="33" spans="2:16" ht="14.4" x14ac:dyDescent="0.3">
      <c r="B33" s="17" t="s">
        <v>31</v>
      </c>
      <c r="C33" s="21" t="e">
        <f>VLOOKUP(B33,#REF!,2)</f>
        <v>#REF!</v>
      </c>
      <c r="D33" s="21" t="e">
        <f>VLOOKUP(B33,#REF!,3)</f>
        <v>#REF!</v>
      </c>
      <c r="E33" s="14" t="e">
        <f>VLOOKUP(B33,#REF!,4)</f>
        <v>#REF!</v>
      </c>
      <c r="F33" s="22" t="e">
        <f>VLOOKUP(B33,#REF!,5)</f>
        <v>#REF!</v>
      </c>
      <c r="H33" s="30" t="e">
        <f>VLOOKUP(B33,#REF!,4)</f>
        <v>#REF!</v>
      </c>
      <c r="I33" s="21" t="e">
        <f>VLOOKUP(B33,#REF!,5)</f>
        <v>#REF!</v>
      </c>
      <c r="J33" s="14" t="e">
        <f>VLOOKUP(B33,#REF!,6)</f>
        <v>#REF!</v>
      </c>
      <c r="K33" s="22" t="e">
        <f>VLOOKUP(B33,#REF!,7)</f>
        <v>#REF!</v>
      </c>
      <c r="M33" s="30" t="e">
        <f t="shared" si="0"/>
        <v>#REF!</v>
      </c>
      <c r="N33" s="35" t="e">
        <f t="shared" si="1"/>
        <v>#REF!</v>
      </c>
      <c r="O33" s="21" t="e">
        <f t="shared" si="2"/>
        <v>#REF!</v>
      </c>
      <c r="P33" s="36" t="e">
        <f t="shared" si="3"/>
        <v>#REF!</v>
      </c>
    </row>
    <row r="34" spans="2:16" ht="14.4" x14ac:dyDescent="0.3">
      <c r="B34" s="17" t="s">
        <v>15</v>
      </c>
      <c r="C34" s="21" t="e">
        <f>VLOOKUP(B34,#REF!,2)</f>
        <v>#REF!</v>
      </c>
      <c r="D34" s="21" t="e">
        <f>VLOOKUP(B34,#REF!,3)</f>
        <v>#REF!</v>
      </c>
      <c r="E34" s="14" t="e">
        <f>VLOOKUP(B34,#REF!,4)</f>
        <v>#REF!</v>
      </c>
      <c r="F34" s="22" t="e">
        <f>VLOOKUP(B34,#REF!,5)</f>
        <v>#REF!</v>
      </c>
      <c r="H34" s="30" t="e">
        <f>VLOOKUP(B34,#REF!,4)</f>
        <v>#REF!</v>
      </c>
      <c r="I34" s="21" t="e">
        <f>VLOOKUP(B34,#REF!,5)</f>
        <v>#REF!</v>
      </c>
      <c r="J34" s="14" t="e">
        <f>VLOOKUP(B34,#REF!,6)</f>
        <v>#REF!</v>
      </c>
      <c r="K34" s="22" t="e">
        <f>VLOOKUP(B34,#REF!,7)</f>
        <v>#REF!</v>
      </c>
      <c r="M34" s="30" t="e">
        <f t="shared" si="0"/>
        <v>#REF!</v>
      </c>
      <c r="N34" s="35" t="e">
        <f t="shared" si="1"/>
        <v>#REF!</v>
      </c>
      <c r="O34" s="21" t="e">
        <f t="shared" si="2"/>
        <v>#REF!</v>
      </c>
      <c r="P34" s="36" t="e">
        <f t="shared" si="3"/>
        <v>#REF!</v>
      </c>
    </row>
    <row r="35" spans="2:16" ht="14.4" x14ac:dyDescent="0.3">
      <c r="B35" s="17" t="s">
        <v>56</v>
      </c>
      <c r="C35" s="21" t="e">
        <f>VLOOKUP(B35,#REF!,2)</f>
        <v>#REF!</v>
      </c>
      <c r="D35" s="21" t="e">
        <f>VLOOKUP(B35,#REF!,3)</f>
        <v>#REF!</v>
      </c>
      <c r="E35" s="14" t="e">
        <f>VLOOKUP(B35,#REF!,4)</f>
        <v>#REF!</v>
      </c>
      <c r="F35" s="22" t="e">
        <f>VLOOKUP(B35,#REF!,5)</f>
        <v>#REF!</v>
      </c>
      <c r="H35" s="30" t="e">
        <f>VLOOKUP(B35,#REF!,4)</f>
        <v>#REF!</v>
      </c>
      <c r="I35" s="21" t="e">
        <f>VLOOKUP(B35,#REF!,5)</f>
        <v>#REF!</v>
      </c>
      <c r="J35" s="14" t="e">
        <f>VLOOKUP(B35,#REF!,6)</f>
        <v>#REF!</v>
      </c>
      <c r="K35" s="22" t="e">
        <f>VLOOKUP(B35,#REF!,7)</f>
        <v>#REF!</v>
      </c>
      <c r="M35" s="30" t="e">
        <f t="shared" ref="M35:M60" si="4">H35-C35</f>
        <v>#REF!</v>
      </c>
      <c r="N35" s="35" t="e">
        <f t="shared" ref="N35:N60" si="5">M35/C35</f>
        <v>#REF!</v>
      </c>
      <c r="O35" s="21" t="e">
        <f t="shared" ref="O35:O60" si="6">I35-D35</f>
        <v>#REF!</v>
      </c>
      <c r="P35" s="36" t="e">
        <f t="shared" ref="P35:P61" si="7">O35/D35</f>
        <v>#REF!</v>
      </c>
    </row>
    <row r="36" spans="2:16" ht="14.4" x14ac:dyDescent="0.3">
      <c r="B36" s="17" t="s">
        <v>57</v>
      </c>
      <c r="C36" s="21" t="e">
        <f>VLOOKUP(B36,#REF!,2)</f>
        <v>#REF!</v>
      </c>
      <c r="D36" s="21" t="e">
        <f>VLOOKUP(B36,#REF!,3)</f>
        <v>#REF!</v>
      </c>
      <c r="E36" s="14" t="e">
        <f>VLOOKUP(B36,#REF!,4)</f>
        <v>#REF!</v>
      </c>
      <c r="F36" s="22" t="e">
        <f>VLOOKUP(B36,#REF!,5)</f>
        <v>#REF!</v>
      </c>
      <c r="H36" s="30" t="e">
        <f>VLOOKUP(B36,#REF!,4)</f>
        <v>#REF!</v>
      </c>
      <c r="I36" s="21" t="e">
        <f>VLOOKUP(B36,#REF!,5)</f>
        <v>#REF!</v>
      </c>
      <c r="J36" s="14" t="e">
        <f>VLOOKUP(B36,#REF!,6)</f>
        <v>#REF!</v>
      </c>
      <c r="K36" s="22" t="e">
        <f>VLOOKUP(B36,#REF!,7)</f>
        <v>#REF!</v>
      </c>
      <c r="M36" s="30" t="e">
        <f t="shared" si="4"/>
        <v>#REF!</v>
      </c>
      <c r="N36" s="35" t="e">
        <f t="shared" si="5"/>
        <v>#REF!</v>
      </c>
      <c r="O36" s="21" t="e">
        <f t="shared" si="6"/>
        <v>#REF!</v>
      </c>
      <c r="P36" s="36" t="e">
        <f t="shared" si="7"/>
        <v>#REF!</v>
      </c>
    </row>
    <row r="37" spans="2:16" ht="14.4" x14ac:dyDescent="0.3">
      <c r="B37" s="17" t="s">
        <v>16</v>
      </c>
      <c r="C37" s="21" t="e">
        <f>VLOOKUP(B37,#REF!,2)</f>
        <v>#REF!</v>
      </c>
      <c r="D37" s="21" t="e">
        <f>VLOOKUP(B37,#REF!,3)</f>
        <v>#REF!</v>
      </c>
      <c r="E37" s="14" t="e">
        <f>VLOOKUP(B37,#REF!,4)</f>
        <v>#REF!</v>
      </c>
      <c r="F37" s="22" t="e">
        <f>VLOOKUP(B37,#REF!,5)</f>
        <v>#REF!</v>
      </c>
      <c r="H37" s="30" t="e">
        <f>VLOOKUP(B37,#REF!,4)</f>
        <v>#REF!</v>
      </c>
      <c r="I37" s="21" t="e">
        <f>VLOOKUP(B37,#REF!,5)</f>
        <v>#REF!</v>
      </c>
      <c r="J37" s="14" t="e">
        <f>VLOOKUP(B37,#REF!,6)</f>
        <v>#REF!</v>
      </c>
      <c r="K37" s="22" t="e">
        <f>VLOOKUP(B37,#REF!,7)</f>
        <v>#REF!</v>
      </c>
      <c r="M37" s="30" t="e">
        <f t="shared" si="4"/>
        <v>#REF!</v>
      </c>
      <c r="N37" s="35" t="e">
        <f t="shared" si="5"/>
        <v>#REF!</v>
      </c>
      <c r="O37" s="21" t="e">
        <f t="shared" si="6"/>
        <v>#REF!</v>
      </c>
      <c r="P37" s="36" t="e">
        <f t="shared" si="7"/>
        <v>#REF!</v>
      </c>
    </row>
    <row r="38" spans="2:16" ht="14.4" x14ac:dyDescent="0.3">
      <c r="B38" s="17" t="s">
        <v>58</v>
      </c>
      <c r="C38" s="21" t="e">
        <f>VLOOKUP(B38,#REF!,2)</f>
        <v>#REF!</v>
      </c>
      <c r="D38" s="21" t="e">
        <f>VLOOKUP(B38,#REF!,3)</f>
        <v>#REF!</v>
      </c>
      <c r="E38" s="14" t="e">
        <f>VLOOKUP(B38,#REF!,4)</f>
        <v>#REF!</v>
      </c>
      <c r="F38" s="22" t="e">
        <f>VLOOKUP(B38,#REF!,5)</f>
        <v>#REF!</v>
      </c>
      <c r="H38" s="30" t="e">
        <f>VLOOKUP(B38,#REF!,4)</f>
        <v>#REF!</v>
      </c>
      <c r="I38" s="21" t="e">
        <f>VLOOKUP(B38,#REF!,5)</f>
        <v>#REF!</v>
      </c>
      <c r="J38" s="14" t="e">
        <f>VLOOKUP(B38,#REF!,6)</f>
        <v>#REF!</v>
      </c>
      <c r="K38" s="22" t="e">
        <f>VLOOKUP(B38,#REF!,7)</f>
        <v>#REF!</v>
      </c>
      <c r="M38" s="30" t="e">
        <f t="shared" si="4"/>
        <v>#REF!</v>
      </c>
      <c r="N38" s="35" t="e">
        <f t="shared" si="5"/>
        <v>#REF!</v>
      </c>
      <c r="O38" s="21" t="e">
        <f t="shared" si="6"/>
        <v>#REF!</v>
      </c>
      <c r="P38" s="36" t="e">
        <f t="shared" si="7"/>
        <v>#REF!</v>
      </c>
    </row>
    <row r="39" spans="2:16" ht="14.4" x14ac:dyDescent="0.3">
      <c r="B39" s="17" t="s">
        <v>59</v>
      </c>
      <c r="C39" s="21" t="e">
        <f>VLOOKUP(B39,#REF!,2)</f>
        <v>#REF!</v>
      </c>
      <c r="D39" s="21" t="e">
        <f>VLOOKUP(B39,#REF!,3)</f>
        <v>#REF!</v>
      </c>
      <c r="E39" s="14" t="e">
        <f>VLOOKUP(B39,#REF!,4)</f>
        <v>#REF!</v>
      </c>
      <c r="F39" s="22" t="e">
        <f>VLOOKUP(B39,#REF!,5)</f>
        <v>#REF!</v>
      </c>
      <c r="H39" s="30" t="e">
        <f>VLOOKUP(B39,#REF!,4)</f>
        <v>#REF!</v>
      </c>
      <c r="I39" s="21" t="e">
        <f>VLOOKUP(B39,#REF!,5)</f>
        <v>#REF!</v>
      </c>
      <c r="J39" s="14" t="e">
        <f>VLOOKUP(B39,#REF!,6)</f>
        <v>#REF!</v>
      </c>
      <c r="K39" s="22" t="e">
        <f>VLOOKUP(B39,#REF!,7)</f>
        <v>#REF!</v>
      </c>
      <c r="M39" s="30" t="e">
        <f t="shared" si="4"/>
        <v>#REF!</v>
      </c>
      <c r="N39" s="35" t="e">
        <f t="shared" si="5"/>
        <v>#REF!</v>
      </c>
      <c r="O39" s="21" t="e">
        <f t="shared" si="6"/>
        <v>#REF!</v>
      </c>
      <c r="P39" s="36" t="e">
        <f t="shared" si="7"/>
        <v>#REF!</v>
      </c>
    </row>
    <row r="40" spans="2:16" ht="14.4" x14ac:dyDescent="0.3">
      <c r="B40" s="17" t="s">
        <v>60</v>
      </c>
      <c r="C40" s="21" t="e">
        <f>VLOOKUP(B40,#REF!,2)</f>
        <v>#REF!</v>
      </c>
      <c r="D40" s="21" t="e">
        <f>VLOOKUP(B40,#REF!,3)</f>
        <v>#REF!</v>
      </c>
      <c r="E40" s="14" t="e">
        <f>VLOOKUP(B40,#REF!,4)</f>
        <v>#REF!</v>
      </c>
      <c r="F40" s="22" t="e">
        <f>VLOOKUP(B40,#REF!,5)</f>
        <v>#REF!</v>
      </c>
      <c r="H40" s="30" t="e">
        <f>VLOOKUP(B40,#REF!,4)</f>
        <v>#REF!</v>
      </c>
      <c r="I40" s="21" t="e">
        <f>VLOOKUP(B40,#REF!,5)</f>
        <v>#REF!</v>
      </c>
      <c r="J40" s="14" t="e">
        <f>VLOOKUP(B40,#REF!,6)</f>
        <v>#REF!</v>
      </c>
      <c r="K40" s="22" t="e">
        <f>VLOOKUP(B40,#REF!,7)</f>
        <v>#REF!</v>
      </c>
      <c r="M40" s="30" t="e">
        <f t="shared" si="4"/>
        <v>#REF!</v>
      </c>
      <c r="N40" s="35" t="e">
        <f t="shared" si="5"/>
        <v>#REF!</v>
      </c>
      <c r="O40" s="21" t="e">
        <f t="shared" si="6"/>
        <v>#REF!</v>
      </c>
      <c r="P40" s="36" t="e">
        <f t="shared" si="7"/>
        <v>#REF!</v>
      </c>
    </row>
    <row r="41" spans="2:16" ht="14.4" x14ac:dyDescent="0.3">
      <c r="B41" s="17" t="s">
        <v>45</v>
      </c>
      <c r="C41" s="21" t="e">
        <f>VLOOKUP(B41,#REF!,2)</f>
        <v>#REF!</v>
      </c>
      <c r="D41" s="21" t="e">
        <f>VLOOKUP(B41,#REF!,3)</f>
        <v>#REF!</v>
      </c>
      <c r="E41" s="14" t="e">
        <f>VLOOKUP(B41,#REF!,4)</f>
        <v>#REF!</v>
      </c>
      <c r="F41" s="22" t="e">
        <f>VLOOKUP(B41,#REF!,5)</f>
        <v>#REF!</v>
      </c>
      <c r="H41" s="30" t="e">
        <f>VLOOKUP(B41,#REF!,4)</f>
        <v>#REF!</v>
      </c>
      <c r="I41" s="21" t="e">
        <f>VLOOKUP(B41,#REF!,5)</f>
        <v>#REF!</v>
      </c>
      <c r="J41" s="14" t="e">
        <f>VLOOKUP(B41,#REF!,6)</f>
        <v>#REF!</v>
      </c>
      <c r="K41" s="22" t="e">
        <f>VLOOKUP(B41,#REF!,7)</f>
        <v>#REF!</v>
      </c>
      <c r="M41" s="30" t="e">
        <f t="shared" si="4"/>
        <v>#REF!</v>
      </c>
      <c r="N41" s="35" t="e">
        <f t="shared" si="5"/>
        <v>#REF!</v>
      </c>
      <c r="O41" s="21" t="e">
        <f t="shared" si="6"/>
        <v>#REF!</v>
      </c>
      <c r="P41" s="36" t="e">
        <f t="shared" si="7"/>
        <v>#REF!</v>
      </c>
    </row>
    <row r="42" spans="2:16" ht="14.4" x14ac:dyDescent="0.3">
      <c r="B42" s="17" t="s">
        <v>32</v>
      </c>
      <c r="C42" s="21" t="e">
        <f>VLOOKUP(B42,#REF!,2)</f>
        <v>#REF!</v>
      </c>
      <c r="D42" s="21" t="e">
        <f>VLOOKUP(B42,#REF!,3)</f>
        <v>#REF!</v>
      </c>
      <c r="E42" s="14" t="e">
        <f>VLOOKUP(B42,#REF!,4)</f>
        <v>#REF!</v>
      </c>
      <c r="F42" s="22" t="e">
        <f>VLOOKUP(B42,#REF!,5)</f>
        <v>#REF!</v>
      </c>
      <c r="H42" s="30" t="e">
        <f>VLOOKUP(B42,#REF!,4)</f>
        <v>#REF!</v>
      </c>
      <c r="I42" s="21" t="e">
        <f>VLOOKUP(B42,#REF!,5)</f>
        <v>#REF!</v>
      </c>
      <c r="J42" s="14" t="e">
        <f>VLOOKUP(B42,#REF!,6)</f>
        <v>#REF!</v>
      </c>
      <c r="K42" s="22" t="e">
        <f>VLOOKUP(B42,#REF!,7)</f>
        <v>#REF!</v>
      </c>
      <c r="M42" s="30" t="e">
        <f t="shared" si="4"/>
        <v>#REF!</v>
      </c>
      <c r="N42" s="35" t="e">
        <f t="shared" si="5"/>
        <v>#REF!</v>
      </c>
      <c r="O42" s="21" t="e">
        <f t="shared" si="6"/>
        <v>#REF!</v>
      </c>
      <c r="P42" s="36" t="e">
        <f t="shared" si="7"/>
        <v>#REF!</v>
      </c>
    </row>
    <row r="43" spans="2:16" ht="14.4" x14ac:dyDescent="0.3">
      <c r="B43" s="17" t="s">
        <v>46</v>
      </c>
      <c r="C43" s="21" t="e">
        <f>VLOOKUP(B43,#REF!,2)</f>
        <v>#REF!</v>
      </c>
      <c r="D43" s="21" t="e">
        <f>VLOOKUP(B43,#REF!,3)</f>
        <v>#REF!</v>
      </c>
      <c r="E43" s="14" t="e">
        <f>VLOOKUP(B43,#REF!,4)</f>
        <v>#REF!</v>
      </c>
      <c r="F43" s="22" t="e">
        <f>VLOOKUP(B43,#REF!,5)</f>
        <v>#REF!</v>
      </c>
      <c r="H43" s="30" t="e">
        <f>VLOOKUP(B43,#REF!,4)</f>
        <v>#REF!</v>
      </c>
      <c r="I43" s="21" t="e">
        <f>VLOOKUP(B43,#REF!,5)</f>
        <v>#REF!</v>
      </c>
      <c r="J43" s="14" t="e">
        <f>VLOOKUP(B43,#REF!,6)</f>
        <v>#REF!</v>
      </c>
      <c r="K43" s="22" t="e">
        <f>VLOOKUP(B43,#REF!,7)</f>
        <v>#REF!</v>
      </c>
      <c r="M43" s="30" t="e">
        <f t="shared" si="4"/>
        <v>#REF!</v>
      </c>
      <c r="N43" s="35" t="e">
        <f t="shared" si="5"/>
        <v>#REF!</v>
      </c>
      <c r="O43" s="21" t="e">
        <f t="shared" si="6"/>
        <v>#REF!</v>
      </c>
      <c r="P43" s="36" t="e">
        <f t="shared" si="7"/>
        <v>#REF!</v>
      </c>
    </row>
    <row r="44" spans="2:16" ht="14.4" x14ac:dyDescent="0.3">
      <c r="B44" s="17" t="s">
        <v>47</v>
      </c>
      <c r="C44" s="21" t="e">
        <f>VLOOKUP(B44,#REF!,2)</f>
        <v>#REF!</v>
      </c>
      <c r="D44" s="21" t="e">
        <f>VLOOKUP(B44,#REF!,3)</f>
        <v>#REF!</v>
      </c>
      <c r="E44" s="14" t="e">
        <f>VLOOKUP(B44,#REF!,4)</f>
        <v>#REF!</v>
      </c>
      <c r="F44" s="22" t="e">
        <f>VLOOKUP(B44,#REF!,5)</f>
        <v>#REF!</v>
      </c>
      <c r="H44" s="30" t="e">
        <f>VLOOKUP(B44,#REF!,4)</f>
        <v>#REF!</v>
      </c>
      <c r="I44" s="21" t="e">
        <f>VLOOKUP(B44,#REF!,5)</f>
        <v>#REF!</v>
      </c>
      <c r="J44" s="14" t="e">
        <f>VLOOKUP(B44,#REF!,6)</f>
        <v>#REF!</v>
      </c>
      <c r="K44" s="22" t="e">
        <f>VLOOKUP(B44,#REF!,7)</f>
        <v>#REF!</v>
      </c>
      <c r="M44" s="30" t="e">
        <f t="shared" si="4"/>
        <v>#REF!</v>
      </c>
      <c r="N44" s="35" t="e">
        <f t="shared" si="5"/>
        <v>#REF!</v>
      </c>
      <c r="O44" s="21" t="e">
        <f t="shared" si="6"/>
        <v>#REF!</v>
      </c>
      <c r="P44" s="36" t="e">
        <f t="shared" si="7"/>
        <v>#REF!</v>
      </c>
    </row>
    <row r="45" spans="2:16" ht="14.4" x14ac:dyDescent="0.3">
      <c r="B45" s="17" t="s">
        <v>61</v>
      </c>
      <c r="C45" s="21" t="e">
        <f>VLOOKUP(B45,#REF!,2)</f>
        <v>#REF!</v>
      </c>
      <c r="D45" s="21" t="e">
        <f>VLOOKUP(B45,#REF!,3)</f>
        <v>#REF!</v>
      </c>
      <c r="E45" s="14" t="e">
        <f>VLOOKUP(B45,#REF!,4)</f>
        <v>#REF!</v>
      </c>
      <c r="F45" s="22" t="e">
        <f>VLOOKUP(B45,#REF!,5)</f>
        <v>#REF!</v>
      </c>
      <c r="H45" s="30" t="e">
        <f>VLOOKUP(B45,#REF!,4)</f>
        <v>#REF!</v>
      </c>
      <c r="I45" s="21" t="e">
        <f>VLOOKUP(B45,#REF!,5)</f>
        <v>#REF!</v>
      </c>
      <c r="J45" s="14" t="e">
        <f>VLOOKUP(B45,#REF!,6)</f>
        <v>#REF!</v>
      </c>
      <c r="K45" s="22" t="e">
        <f>VLOOKUP(B45,#REF!,7)</f>
        <v>#REF!</v>
      </c>
      <c r="M45" s="30" t="e">
        <f t="shared" si="4"/>
        <v>#REF!</v>
      </c>
      <c r="N45" s="35" t="e">
        <f t="shared" si="5"/>
        <v>#REF!</v>
      </c>
      <c r="O45" s="21" t="e">
        <f t="shared" si="6"/>
        <v>#REF!</v>
      </c>
      <c r="P45" s="36" t="e">
        <f t="shared" si="7"/>
        <v>#REF!</v>
      </c>
    </row>
    <row r="46" spans="2:16" ht="14.4" x14ac:dyDescent="0.3">
      <c r="B46" s="17" t="s">
        <v>33</v>
      </c>
      <c r="C46" s="21" t="e">
        <f>VLOOKUP(B46,#REF!,2)</f>
        <v>#REF!</v>
      </c>
      <c r="D46" s="21" t="e">
        <f>VLOOKUP(B46,#REF!,3)</f>
        <v>#REF!</v>
      </c>
      <c r="E46" s="14" t="e">
        <f>VLOOKUP(B46,#REF!,4)</f>
        <v>#REF!</v>
      </c>
      <c r="F46" s="22" t="e">
        <f>VLOOKUP(B46,#REF!,5)</f>
        <v>#REF!</v>
      </c>
      <c r="H46" s="30" t="e">
        <f>VLOOKUP(B46,#REF!,4)</f>
        <v>#REF!</v>
      </c>
      <c r="I46" s="21" t="e">
        <f>VLOOKUP(B46,#REF!,5)</f>
        <v>#REF!</v>
      </c>
      <c r="J46" s="14" t="e">
        <f>VLOOKUP(B46,#REF!,6)</f>
        <v>#REF!</v>
      </c>
      <c r="K46" s="22" t="e">
        <f>VLOOKUP(B46,#REF!,7)</f>
        <v>#REF!</v>
      </c>
      <c r="M46" s="30" t="e">
        <f t="shared" si="4"/>
        <v>#REF!</v>
      </c>
      <c r="N46" s="35" t="e">
        <f t="shared" si="5"/>
        <v>#REF!</v>
      </c>
      <c r="O46" s="21" t="e">
        <f t="shared" si="6"/>
        <v>#REF!</v>
      </c>
      <c r="P46" s="36" t="e">
        <f t="shared" si="7"/>
        <v>#REF!</v>
      </c>
    </row>
    <row r="47" spans="2:16" ht="14.4" x14ac:dyDescent="0.3">
      <c r="B47" s="17" t="s">
        <v>34</v>
      </c>
      <c r="C47" s="21" t="e">
        <f>VLOOKUP(B47,#REF!,2)</f>
        <v>#REF!</v>
      </c>
      <c r="D47" s="21" t="e">
        <f>VLOOKUP(B47,#REF!,3)</f>
        <v>#REF!</v>
      </c>
      <c r="E47" s="14" t="e">
        <f>VLOOKUP(B47,#REF!,4)</f>
        <v>#REF!</v>
      </c>
      <c r="F47" s="22" t="e">
        <f>VLOOKUP(B47,#REF!,5)</f>
        <v>#REF!</v>
      </c>
      <c r="H47" s="30" t="e">
        <f>VLOOKUP(B47,#REF!,4)</f>
        <v>#REF!</v>
      </c>
      <c r="I47" s="21" t="e">
        <f>VLOOKUP(B47,#REF!,5)</f>
        <v>#REF!</v>
      </c>
      <c r="J47" s="14" t="e">
        <f>VLOOKUP(B47,#REF!,6)</f>
        <v>#REF!</v>
      </c>
      <c r="K47" s="22" t="e">
        <f>VLOOKUP(B47,#REF!,7)</f>
        <v>#REF!</v>
      </c>
      <c r="M47" s="30" t="e">
        <f t="shared" si="4"/>
        <v>#REF!</v>
      </c>
      <c r="N47" s="35" t="e">
        <f t="shared" si="5"/>
        <v>#REF!</v>
      </c>
      <c r="O47" s="21" t="e">
        <f t="shared" si="6"/>
        <v>#REF!</v>
      </c>
      <c r="P47" s="36" t="e">
        <f t="shared" si="7"/>
        <v>#REF!</v>
      </c>
    </row>
    <row r="48" spans="2:16" ht="14.4" x14ac:dyDescent="0.3">
      <c r="B48" s="17" t="s">
        <v>17</v>
      </c>
      <c r="C48" s="21" t="e">
        <f>VLOOKUP(B48,#REF!,2)</f>
        <v>#REF!</v>
      </c>
      <c r="D48" s="21" t="e">
        <f>VLOOKUP(B48,#REF!,3)</f>
        <v>#REF!</v>
      </c>
      <c r="E48" s="14" t="e">
        <f>VLOOKUP(B48,#REF!,4)</f>
        <v>#REF!</v>
      </c>
      <c r="F48" s="22" t="e">
        <f>VLOOKUP(B48,#REF!,5)</f>
        <v>#REF!</v>
      </c>
      <c r="H48" s="30" t="e">
        <f>VLOOKUP(B48,#REF!,4)</f>
        <v>#REF!</v>
      </c>
      <c r="I48" s="21" t="e">
        <f>VLOOKUP(B48,#REF!,5)</f>
        <v>#REF!</v>
      </c>
      <c r="J48" s="14" t="e">
        <f>VLOOKUP(B48,#REF!,6)</f>
        <v>#REF!</v>
      </c>
      <c r="K48" s="22" t="e">
        <f>VLOOKUP(B48,#REF!,7)</f>
        <v>#REF!</v>
      </c>
      <c r="M48" s="30" t="e">
        <f t="shared" si="4"/>
        <v>#REF!</v>
      </c>
      <c r="N48" s="35" t="e">
        <f t="shared" si="5"/>
        <v>#REF!</v>
      </c>
      <c r="O48" s="21" t="e">
        <f t="shared" si="6"/>
        <v>#REF!</v>
      </c>
      <c r="P48" s="36" t="e">
        <f t="shared" si="7"/>
        <v>#REF!</v>
      </c>
    </row>
    <row r="49" spans="2:16" ht="14.4" x14ac:dyDescent="0.3">
      <c r="B49" s="17" t="s">
        <v>35</v>
      </c>
      <c r="C49" s="21" t="e">
        <f>VLOOKUP(B49,#REF!,2)</f>
        <v>#REF!</v>
      </c>
      <c r="D49" s="21" t="e">
        <f>VLOOKUP(B49,#REF!,3)</f>
        <v>#REF!</v>
      </c>
      <c r="E49" s="14" t="e">
        <f>VLOOKUP(B49,#REF!,4)</f>
        <v>#REF!</v>
      </c>
      <c r="F49" s="22" t="e">
        <f>VLOOKUP(B49,#REF!,5)</f>
        <v>#REF!</v>
      </c>
      <c r="H49" s="30" t="e">
        <f>VLOOKUP(B49,#REF!,4)</f>
        <v>#REF!</v>
      </c>
      <c r="I49" s="21" t="e">
        <f>VLOOKUP(B49,#REF!,5)</f>
        <v>#REF!</v>
      </c>
      <c r="J49" s="14" t="e">
        <f>VLOOKUP(B49,#REF!,6)</f>
        <v>#REF!</v>
      </c>
      <c r="K49" s="22" t="e">
        <f>VLOOKUP(B49,#REF!,7)</f>
        <v>#REF!</v>
      </c>
      <c r="M49" s="30" t="e">
        <f t="shared" si="4"/>
        <v>#REF!</v>
      </c>
      <c r="N49" s="35" t="e">
        <f t="shared" si="5"/>
        <v>#REF!</v>
      </c>
      <c r="O49" s="21" t="e">
        <f t="shared" si="6"/>
        <v>#REF!</v>
      </c>
      <c r="P49" s="36" t="e">
        <f t="shared" si="7"/>
        <v>#REF!</v>
      </c>
    </row>
    <row r="50" spans="2:16" ht="14.4" x14ac:dyDescent="0.3">
      <c r="B50" s="17" t="s">
        <v>48</v>
      </c>
      <c r="C50" s="21" t="e">
        <f>VLOOKUP(B50,#REF!,2)</f>
        <v>#REF!</v>
      </c>
      <c r="D50" s="21" t="e">
        <f>VLOOKUP(B50,#REF!,3)</f>
        <v>#REF!</v>
      </c>
      <c r="E50" s="14" t="e">
        <f>VLOOKUP(B50,#REF!,4)</f>
        <v>#REF!</v>
      </c>
      <c r="F50" s="22" t="e">
        <f>VLOOKUP(B50,#REF!,5)</f>
        <v>#REF!</v>
      </c>
      <c r="H50" s="30" t="e">
        <f>VLOOKUP(B50,#REF!,4)</f>
        <v>#REF!</v>
      </c>
      <c r="I50" s="21" t="e">
        <f>VLOOKUP(B50,#REF!,5)</f>
        <v>#REF!</v>
      </c>
      <c r="J50" s="14" t="e">
        <f>VLOOKUP(B50,#REF!,6)</f>
        <v>#REF!</v>
      </c>
      <c r="K50" s="22" t="e">
        <f>VLOOKUP(B50,#REF!,7)</f>
        <v>#REF!</v>
      </c>
      <c r="M50" s="30" t="e">
        <f t="shared" si="4"/>
        <v>#REF!</v>
      </c>
      <c r="N50" s="35" t="e">
        <f t="shared" si="5"/>
        <v>#REF!</v>
      </c>
      <c r="O50" s="21" t="e">
        <f t="shared" si="6"/>
        <v>#REF!</v>
      </c>
      <c r="P50" s="36" t="e">
        <f t="shared" si="7"/>
        <v>#REF!</v>
      </c>
    </row>
    <row r="51" spans="2:16" ht="14.4" x14ac:dyDescent="0.3">
      <c r="B51" s="17" t="s">
        <v>49</v>
      </c>
      <c r="C51" s="21" t="e">
        <f>VLOOKUP(B51,#REF!,2)</f>
        <v>#REF!</v>
      </c>
      <c r="D51" s="21" t="e">
        <f>VLOOKUP(B51,#REF!,3)</f>
        <v>#REF!</v>
      </c>
      <c r="E51" s="14" t="e">
        <f>VLOOKUP(B51,#REF!,4)</f>
        <v>#REF!</v>
      </c>
      <c r="F51" s="22" t="e">
        <f>VLOOKUP(B51,#REF!,5)</f>
        <v>#REF!</v>
      </c>
      <c r="H51" s="30" t="e">
        <f>VLOOKUP(B51,#REF!,4)</f>
        <v>#REF!</v>
      </c>
      <c r="I51" s="21" t="e">
        <f>VLOOKUP(B51,#REF!,5)</f>
        <v>#REF!</v>
      </c>
      <c r="J51" s="14" t="e">
        <f>VLOOKUP(B51,#REF!,6)</f>
        <v>#REF!</v>
      </c>
      <c r="K51" s="22" t="e">
        <f>VLOOKUP(B51,#REF!,7)</f>
        <v>#REF!</v>
      </c>
      <c r="M51" s="30" t="e">
        <f t="shared" si="4"/>
        <v>#REF!</v>
      </c>
      <c r="N51" s="35" t="e">
        <f t="shared" si="5"/>
        <v>#REF!</v>
      </c>
      <c r="O51" s="21" t="e">
        <f t="shared" si="6"/>
        <v>#REF!</v>
      </c>
      <c r="P51" s="36" t="e">
        <f t="shared" si="7"/>
        <v>#REF!</v>
      </c>
    </row>
    <row r="52" spans="2:16" ht="14.4" x14ac:dyDescent="0.3">
      <c r="B52" s="17" t="s">
        <v>50</v>
      </c>
      <c r="C52" s="21" t="e">
        <f>VLOOKUP(B52,#REF!,2)</f>
        <v>#REF!</v>
      </c>
      <c r="D52" s="21" t="e">
        <f>VLOOKUP(B52,#REF!,3)</f>
        <v>#REF!</v>
      </c>
      <c r="E52" s="14" t="e">
        <f>VLOOKUP(B52,#REF!,4)</f>
        <v>#REF!</v>
      </c>
      <c r="F52" s="22" t="e">
        <f>VLOOKUP(B52,#REF!,5)</f>
        <v>#REF!</v>
      </c>
      <c r="H52" s="30" t="e">
        <f>VLOOKUP(B52,#REF!,4)</f>
        <v>#REF!</v>
      </c>
      <c r="I52" s="21" t="e">
        <f>VLOOKUP(B52,#REF!,5)</f>
        <v>#REF!</v>
      </c>
      <c r="J52" s="14" t="e">
        <f>VLOOKUP(B52,#REF!,6)</f>
        <v>#REF!</v>
      </c>
      <c r="K52" s="22" t="e">
        <f>VLOOKUP(B52,#REF!,7)</f>
        <v>#REF!</v>
      </c>
      <c r="M52" s="30" t="e">
        <f t="shared" si="4"/>
        <v>#REF!</v>
      </c>
      <c r="N52" s="35" t="e">
        <f t="shared" si="5"/>
        <v>#REF!</v>
      </c>
      <c r="O52" s="21" t="e">
        <f t="shared" si="6"/>
        <v>#REF!</v>
      </c>
      <c r="P52" s="36" t="e">
        <f t="shared" si="7"/>
        <v>#REF!</v>
      </c>
    </row>
    <row r="53" spans="2:16" ht="14.4" x14ac:dyDescent="0.3">
      <c r="B53" s="17" t="s">
        <v>36</v>
      </c>
      <c r="C53" s="21" t="e">
        <f>VLOOKUP(B53,#REF!,2)</f>
        <v>#REF!</v>
      </c>
      <c r="D53" s="21" t="e">
        <f>VLOOKUP(B53,#REF!,3)</f>
        <v>#REF!</v>
      </c>
      <c r="E53" s="14" t="e">
        <f>VLOOKUP(B53,#REF!,4)</f>
        <v>#REF!</v>
      </c>
      <c r="F53" s="22" t="e">
        <f>VLOOKUP(B53,#REF!,5)</f>
        <v>#REF!</v>
      </c>
      <c r="H53" s="30" t="e">
        <f>VLOOKUP(B53,#REF!,4)</f>
        <v>#REF!</v>
      </c>
      <c r="I53" s="21" t="e">
        <f>VLOOKUP(B53,#REF!,5)</f>
        <v>#REF!</v>
      </c>
      <c r="J53" s="14" t="e">
        <f>VLOOKUP(B53,#REF!,6)</f>
        <v>#REF!</v>
      </c>
      <c r="K53" s="22" t="e">
        <f>VLOOKUP(B53,#REF!,7)</f>
        <v>#REF!</v>
      </c>
      <c r="M53" s="30" t="e">
        <f t="shared" si="4"/>
        <v>#REF!</v>
      </c>
      <c r="N53" s="35" t="e">
        <f t="shared" si="5"/>
        <v>#REF!</v>
      </c>
      <c r="O53" s="21" t="e">
        <f t="shared" si="6"/>
        <v>#REF!</v>
      </c>
      <c r="P53" s="36" t="e">
        <f t="shared" si="7"/>
        <v>#REF!</v>
      </c>
    </row>
    <row r="54" spans="2:16" ht="14.4" x14ac:dyDescent="0.3">
      <c r="B54" s="17" t="s">
        <v>37</v>
      </c>
      <c r="C54" s="21" t="e">
        <f>VLOOKUP(B54,#REF!,2)</f>
        <v>#REF!</v>
      </c>
      <c r="D54" s="21" t="e">
        <f>VLOOKUP(B54,#REF!,3)</f>
        <v>#REF!</v>
      </c>
      <c r="E54" s="14" t="e">
        <f>VLOOKUP(B54,#REF!,4)</f>
        <v>#REF!</v>
      </c>
      <c r="F54" s="22" t="e">
        <f>VLOOKUP(B54,#REF!,5)</f>
        <v>#REF!</v>
      </c>
      <c r="H54" s="30" t="e">
        <f>VLOOKUP(B54,#REF!,4)</f>
        <v>#REF!</v>
      </c>
      <c r="I54" s="21" t="e">
        <f>VLOOKUP(B54,#REF!,5)</f>
        <v>#REF!</v>
      </c>
      <c r="J54" s="14" t="e">
        <f>VLOOKUP(B54,#REF!,6)</f>
        <v>#REF!</v>
      </c>
      <c r="K54" s="22" t="e">
        <f>VLOOKUP(B54,#REF!,7)</f>
        <v>#REF!</v>
      </c>
      <c r="M54" s="30" t="e">
        <f t="shared" si="4"/>
        <v>#REF!</v>
      </c>
      <c r="N54" s="35" t="e">
        <f t="shared" si="5"/>
        <v>#REF!</v>
      </c>
      <c r="O54" s="21" t="e">
        <f t="shared" si="6"/>
        <v>#REF!</v>
      </c>
      <c r="P54" s="36" t="e">
        <f t="shared" si="7"/>
        <v>#REF!</v>
      </c>
    </row>
    <row r="55" spans="2:16" ht="14.4" x14ac:dyDescent="0.3">
      <c r="B55" s="17" t="s">
        <v>18</v>
      </c>
      <c r="C55" s="21" t="e">
        <f>VLOOKUP(B55,#REF!,2)</f>
        <v>#REF!</v>
      </c>
      <c r="D55" s="21" t="e">
        <f>VLOOKUP(B55,#REF!,3)</f>
        <v>#REF!</v>
      </c>
      <c r="E55" s="14" t="e">
        <f>VLOOKUP(B55,#REF!,4)</f>
        <v>#REF!</v>
      </c>
      <c r="F55" s="22" t="e">
        <f>VLOOKUP(B55,#REF!,5)</f>
        <v>#REF!</v>
      </c>
      <c r="H55" s="30" t="e">
        <f>VLOOKUP(B55,#REF!,4)</f>
        <v>#REF!</v>
      </c>
      <c r="I55" s="21" t="e">
        <f>VLOOKUP(B55,#REF!,5)</f>
        <v>#REF!</v>
      </c>
      <c r="J55" s="14" t="e">
        <f>VLOOKUP(B55,#REF!,6)</f>
        <v>#REF!</v>
      </c>
      <c r="K55" s="22" t="e">
        <f>VLOOKUP(B55,#REF!,7)</f>
        <v>#REF!</v>
      </c>
      <c r="M55" s="30" t="e">
        <f t="shared" si="4"/>
        <v>#REF!</v>
      </c>
      <c r="N55" s="35" t="e">
        <f t="shared" si="5"/>
        <v>#REF!</v>
      </c>
      <c r="O55" s="21" t="e">
        <f t="shared" si="6"/>
        <v>#REF!</v>
      </c>
      <c r="P55" s="36" t="e">
        <f t="shared" si="7"/>
        <v>#REF!</v>
      </c>
    </row>
    <row r="56" spans="2:16" ht="14.4" x14ac:dyDescent="0.3">
      <c r="B56" s="17" t="s">
        <v>51</v>
      </c>
      <c r="C56" s="21" t="e">
        <f>VLOOKUP(B56,#REF!,2)</f>
        <v>#REF!</v>
      </c>
      <c r="D56" s="21" t="e">
        <f>VLOOKUP(B56,#REF!,3)</f>
        <v>#REF!</v>
      </c>
      <c r="E56" s="14" t="e">
        <f>VLOOKUP(B56,#REF!,4)</f>
        <v>#REF!</v>
      </c>
      <c r="F56" s="22" t="e">
        <f>VLOOKUP(B56,#REF!,5)</f>
        <v>#REF!</v>
      </c>
      <c r="H56" s="30" t="e">
        <f>VLOOKUP(B56,#REF!,4)</f>
        <v>#REF!</v>
      </c>
      <c r="I56" s="21" t="e">
        <f>VLOOKUP(B56,#REF!,5)</f>
        <v>#REF!</v>
      </c>
      <c r="J56" s="14" t="e">
        <f>VLOOKUP(B56,#REF!,6)</f>
        <v>#REF!</v>
      </c>
      <c r="K56" s="22" t="e">
        <f>VLOOKUP(B56,#REF!,7)</f>
        <v>#REF!</v>
      </c>
      <c r="M56" s="30" t="e">
        <f t="shared" si="4"/>
        <v>#REF!</v>
      </c>
      <c r="N56" s="35" t="e">
        <f t="shared" si="5"/>
        <v>#REF!</v>
      </c>
      <c r="O56" s="21" t="e">
        <f t="shared" si="6"/>
        <v>#REF!</v>
      </c>
      <c r="P56" s="36" t="e">
        <f t="shared" si="7"/>
        <v>#REF!</v>
      </c>
    </row>
    <row r="57" spans="2:16" ht="14.4" x14ac:dyDescent="0.3">
      <c r="B57" s="17" t="s">
        <v>38</v>
      </c>
      <c r="C57" s="21" t="e">
        <f>VLOOKUP(B57,#REF!,2)</f>
        <v>#REF!</v>
      </c>
      <c r="D57" s="21" t="e">
        <f>VLOOKUP(B57,#REF!,3)</f>
        <v>#REF!</v>
      </c>
      <c r="E57" s="14" t="e">
        <f>VLOOKUP(B57,#REF!,4)</f>
        <v>#REF!</v>
      </c>
      <c r="F57" s="22" t="e">
        <f>VLOOKUP(B57,#REF!,5)</f>
        <v>#REF!</v>
      </c>
      <c r="H57" s="30" t="e">
        <f>VLOOKUP(B57,#REF!,4)</f>
        <v>#REF!</v>
      </c>
      <c r="I57" s="21" t="e">
        <f>VLOOKUP(B57,#REF!,5)</f>
        <v>#REF!</v>
      </c>
      <c r="J57" s="14" t="e">
        <f>VLOOKUP(B57,#REF!,6)</f>
        <v>#REF!</v>
      </c>
      <c r="K57" s="22" t="e">
        <f>VLOOKUP(B57,#REF!,7)</f>
        <v>#REF!</v>
      </c>
      <c r="M57" s="30" t="e">
        <f t="shared" si="4"/>
        <v>#REF!</v>
      </c>
      <c r="N57" s="35" t="e">
        <f t="shared" si="5"/>
        <v>#REF!</v>
      </c>
      <c r="O57" s="21" t="e">
        <f t="shared" si="6"/>
        <v>#REF!</v>
      </c>
      <c r="P57" s="36" t="e">
        <f t="shared" si="7"/>
        <v>#REF!</v>
      </c>
    </row>
    <row r="58" spans="2:16" ht="14.4" x14ac:dyDescent="0.3">
      <c r="B58" s="17" t="s">
        <v>52</v>
      </c>
      <c r="C58" s="21" t="e">
        <f>VLOOKUP(B58,#REF!,2)</f>
        <v>#REF!</v>
      </c>
      <c r="D58" s="21" t="e">
        <f>VLOOKUP(B58,#REF!,3)</f>
        <v>#REF!</v>
      </c>
      <c r="E58" s="14" t="e">
        <f>VLOOKUP(B58,#REF!,4)</f>
        <v>#REF!</v>
      </c>
      <c r="F58" s="22" t="e">
        <f>VLOOKUP(B58,#REF!,5)</f>
        <v>#REF!</v>
      </c>
      <c r="H58" s="30" t="e">
        <f>VLOOKUP(B58,#REF!,4)</f>
        <v>#REF!</v>
      </c>
      <c r="I58" s="21" t="e">
        <f>VLOOKUP(B58,#REF!,5)</f>
        <v>#REF!</v>
      </c>
      <c r="J58" s="14" t="e">
        <f>VLOOKUP(B58,#REF!,6)</f>
        <v>#REF!</v>
      </c>
      <c r="K58" s="22" t="e">
        <f>VLOOKUP(B58,#REF!,7)</f>
        <v>#REF!</v>
      </c>
      <c r="M58" s="30" t="e">
        <f t="shared" si="4"/>
        <v>#REF!</v>
      </c>
      <c r="N58" s="35" t="e">
        <f t="shared" si="5"/>
        <v>#REF!</v>
      </c>
      <c r="O58" s="21" t="e">
        <f t="shared" si="6"/>
        <v>#REF!</v>
      </c>
      <c r="P58" s="36" t="e">
        <f t="shared" si="7"/>
        <v>#REF!</v>
      </c>
    </row>
    <row r="59" spans="2:16" ht="14.4" x14ac:dyDescent="0.3">
      <c r="B59" s="17" t="s">
        <v>39</v>
      </c>
      <c r="C59" s="21" t="e">
        <f>VLOOKUP(B59,#REF!,2)</f>
        <v>#REF!</v>
      </c>
      <c r="D59" s="21" t="e">
        <f>VLOOKUP(B59,#REF!,3)</f>
        <v>#REF!</v>
      </c>
      <c r="E59" s="14" t="e">
        <f>VLOOKUP(B59,#REF!,4)</f>
        <v>#REF!</v>
      </c>
      <c r="F59" s="22" t="e">
        <f>VLOOKUP(B59,#REF!,5)</f>
        <v>#REF!</v>
      </c>
      <c r="H59" s="30" t="e">
        <f>VLOOKUP(B59,#REF!,4)</f>
        <v>#REF!</v>
      </c>
      <c r="I59" s="21" t="e">
        <f>VLOOKUP(B59,#REF!,5)</f>
        <v>#REF!</v>
      </c>
      <c r="J59" s="14" t="e">
        <f>VLOOKUP(B59,#REF!,6)</f>
        <v>#REF!</v>
      </c>
      <c r="K59" s="22" t="e">
        <f>VLOOKUP(B59,#REF!,7)</f>
        <v>#REF!</v>
      </c>
      <c r="M59" s="30" t="e">
        <f t="shared" si="4"/>
        <v>#REF!</v>
      </c>
      <c r="N59" s="35" t="e">
        <f t="shared" si="5"/>
        <v>#REF!</v>
      </c>
      <c r="O59" s="21" t="e">
        <f t="shared" si="6"/>
        <v>#REF!</v>
      </c>
      <c r="P59" s="36" t="e">
        <f t="shared" si="7"/>
        <v>#REF!</v>
      </c>
    </row>
    <row r="60" spans="2:16" ht="15" thickBot="1" x14ac:dyDescent="0.35">
      <c r="B60" s="23" t="s">
        <v>40</v>
      </c>
      <c r="C60" s="24" t="e">
        <f>VLOOKUP(B60,#REF!,2)</f>
        <v>#REF!</v>
      </c>
      <c r="D60" s="24" t="e">
        <f>VLOOKUP(B60,#REF!,3)</f>
        <v>#REF!</v>
      </c>
      <c r="E60" s="25" t="e">
        <f>VLOOKUP(B60,#REF!,4)</f>
        <v>#REF!</v>
      </c>
      <c r="F60" s="26" t="e">
        <f>VLOOKUP(B60,#REF!,5)</f>
        <v>#REF!</v>
      </c>
      <c r="H60" s="31" t="e">
        <f>VLOOKUP(B60,#REF!,4)</f>
        <v>#REF!</v>
      </c>
      <c r="I60" s="24" t="e">
        <f>VLOOKUP(B60,#REF!,5)</f>
        <v>#REF!</v>
      </c>
      <c r="J60" s="25" t="e">
        <f>VLOOKUP(B60,#REF!,6)</f>
        <v>#REF!</v>
      </c>
      <c r="K60" s="26" t="e">
        <f>VLOOKUP(B60,#REF!,7)</f>
        <v>#REF!</v>
      </c>
      <c r="M60" s="31" t="e">
        <f t="shared" si="4"/>
        <v>#REF!</v>
      </c>
      <c r="N60" s="37" t="e">
        <f t="shared" si="5"/>
        <v>#REF!</v>
      </c>
      <c r="O60" s="24" t="e">
        <f t="shared" si="6"/>
        <v>#REF!</v>
      </c>
      <c r="P60" s="38" t="e">
        <f t="shared" si="7"/>
        <v>#REF!</v>
      </c>
    </row>
    <row r="61" spans="2:16" s="3" customFormat="1" ht="14.4" x14ac:dyDescent="0.3">
      <c r="B61" s="20" t="s">
        <v>0</v>
      </c>
      <c r="C61" s="12" t="e">
        <f>SUM(C3:C60)</f>
        <v>#REF!</v>
      </c>
      <c r="D61" s="12" t="e">
        <f>SUM(D3:D60)</f>
        <v>#REF!</v>
      </c>
      <c r="E61" s="13" t="e">
        <f>C61/D61</f>
        <v>#REF!</v>
      </c>
      <c r="H61" s="32" t="e">
        <f>SUM(H3:H60)</f>
        <v>#REF!</v>
      </c>
      <c r="I61" s="32" t="e">
        <f>SUM(I3:I60)</f>
        <v>#REF!</v>
      </c>
      <c r="J61" s="33" t="e">
        <f>VLOOKUP(B61,#REF!,6)</f>
        <v>#REF!</v>
      </c>
      <c r="M61" s="12"/>
      <c r="N61" s="12"/>
      <c r="O61" s="12" t="e">
        <f t="shared" ref="O61" si="8">SUM(O3:O60)</f>
        <v>#REF!</v>
      </c>
      <c r="P61" s="39" t="e">
        <f t="shared" si="7"/>
        <v>#REF!</v>
      </c>
    </row>
    <row r="62" spans="2:16" ht="14.4" x14ac:dyDescent="0.3">
      <c r="B62" s="18"/>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00B0F0"/>
    <pageSetUpPr fitToPage="1"/>
  </sheetPr>
  <dimension ref="A1:AD74"/>
  <sheetViews>
    <sheetView tabSelected="1" view="pageBreakPreview" zoomScaleNormal="100" zoomScaleSheetLayoutView="100" workbookViewId="0">
      <pane xSplit="3" ySplit="6" topLeftCell="Q43" activePane="bottomRight" state="frozen"/>
      <selection pane="topRight" activeCell="D1" sqref="D1"/>
      <selection pane="bottomLeft" activeCell="A7" sqref="A7"/>
      <selection pane="bottomRight"/>
    </sheetView>
  </sheetViews>
  <sheetFormatPr defaultColWidth="9.21875" defaultRowHeight="15.6" x14ac:dyDescent="0.3"/>
  <cols>
    <col min="1" max="1" width="7.21875" style="44" customWidth="1"/>
    <col min="2" max="2" width="14.77734375" style="53" bestFit="1" customWidth="1"/>
    <col min="3" max="3" width="1.77734375" style="53" customWidth="1"/>
    <col min="4" max="4" width="12.21875" style="53" customWidth="1"/>
    <col min="5" max="5" width="13.21875" style="53" bestFit="1" customWidth="1"/>
    <col min="6" max="6" width="9.21875" style="53" customWidth="1"/>
    <col min="7" max="7" width="1.77734375" style="53" customWidth="1"/>
    <col min="8" max="8" width="15.77734375" style="53" bestFit="1" customWidth="1"/>
    <col min="9" max="9" width="16.77734375" style="53" bestFit="1" customWidth="1"/>
    <col min="10" max="10" width="16.21875" style="53" bestFit="1" customWidth="1"/>
    <col min="11" max="11" width="13.21875" style="53" bestFit="1" customWidth="1"/>
    <col min="12" max="12" width="15" style="53" bestFit="1" customWidth="1"/>
    <col min="13" max="13" width="1.77734375" style="53" customWidth="1"/>
    <col min="14" max="14" width="10.77734375" style="53" customWidth="1"/>
    <col min="15" max="15" width="19.77734375" style="53" bestFit="1" customWidth="1"/>
    <col min="16" max="16" width="1.77734375" style="53" customWidth="1"/>
    <col min="17" max="18" width="12.21875" style="53" bestFit="1" customWidth="1"/>
    <col min="19" max="19" width="15" style="53" bestFit="1" customWidth="1"/>
    <col min="20" max="20" width="13.5546875" style="53" customWidth="1"/>
    <col min="21" max="21" width="17.21875" style="53" bestFit="1" customWidth="1"/>
    <col min="22" max="22" width="17.44140625" style="53" bestFit="1" customWidth="1"/>
    <col min="23" max="23" width="17.44140625" style="62" bestFit="1" customWidth="1"/>
    <col min="24" max="24" width="1.77734375" style="53" customWidth="1"/>
    <col min="25" max="25" width="17.44140625" style="53" bestFit="1" customWidth="1"/>
    <col min="26" max="26" width="1.77734375" style="53" customWidth="1"/>
    <col min="27" max="27" width="18.21875" style="53" bestFit="1" customWidth="1"/>
    <col min="28" max="28" width="20.21875" style="63" bestFit="1" customWidth="1"/>
    <col min="29" max="29" width="15.21875" style="53" customWidth="1"/>
    <col min="30" max="30" width="17.44140625" style="55" customWidth="1"/>
    <col min="31" max="16384" width="9.21875" style="53"/>
  </cols>
  <sheetData>
    <row r="1" spans="1:30" s="44" customFormat="1" ht="20.100000000000001" customHeight="1" x14ac:dyDescent="0.3">
      <c r="A1" s="46" t="s">
        <v>227</v>
      </c>
      <c r="C1" s="51"/>
      <c r="D1" s="51"/>
      <c r="E1" s="51"/>
      <c r="F1" s="51"/>
      <c r="G1" s="51"/>
      <c r="H1" s="52"/>
      <c r="I1" s="52"/>
      <c r="J1" s="52"/>
      <c r="K1" s="51"/>
      <c r="L1" s="51"/>
      <c r="M1" s="51"/>
      <c r="N1" s="51"/>
      <c r="O1" s="51"/>
      <c r="P1" s="51"/>
      <c r="Q1" s="51"/>
      <c r="R1" s="51"/>
      <c r="S1" s="51"/>
      <c r="T1" s="51"/>
      <c r="U1" s="51"/>
      <c r="V1" s="51"/>
      <c r="W1" s="51"/>
      <c r="X1" s="51"/>
      <c r="Y1" s="51"/>
      <c r="Z1" s="51"/>
      <c r="AA1" s="51"/>
      <c r="AB1" s="51"/>
      <c r="AC1" s="51"/>
      <c r="AD1" s="43"/>
    </row>
    <row r="2" spans="1:30" s="44" customFormat="1" ht="20.100000000000001" customHeight="1" x14ac:dyDescent="0.3">
      <c r="A2" s="49" t="s">
        <v>248</v>
      </c>
      <c r="C2" s="51"/>
      <c r="D2" s="51"/>
      <c r="E2" s="51"/>
      <c r="F2" s="51"/>
      <c r="G2" s="51"/>
      <c r="H2" s="52"/>
      <c r="I2" s="52"/>
      <c r="J2" s="52"/>
      <c r="K2" s="51"/>
      <c r="L2" s="51"/>
      <c r="M2" s="51"/>
      <c r="N2" s="51"/>
      <c r="O2" s="51"/>
      <c r="P2" s="51"/>
      <c r="Q2" s="51"/>
      <c r="R2" s="51"/>
      <c r="S2" s="51"/>
      <c r="T2" s="51"/>
      <c r="U2" s="51"/>
      <c r="V2" s="51"/>
      <c r="W2" s="51"/>
      <c r="X2" s="51"/>
      <c r="Y2" s="51"/>
      <c r="Z2" s="51"/>
      <c r="AA2" s="51"/>
      <c r="AB2" s="51"/>
      <c r="AC2" s="51"/>
      <c r="AD2" s="43"/>
    </row>
    <row r="3" spans="1:30" s="44" customFormat="1" ht="20.100000000000001" customHeight="1" x14ac:dyDescent="0.3">
      <c r="A3" s="47"/>
      <c r="B3" s="50"/>
      <c r="C3" s="51"/>
      <c r="D3" s="51"/>
      <c r="E3" s="51"/>
      <c r="F3" s="51"/>
      <c r="G3" s="51"/>
      <c r="H3" s="52"/>
      <c r="I3" s="52"/>
      <c r="J3" s="52"/>
      <c r="K3" s="51"/>
      <c r="L3" s="51"/>
      <c r="M3" s="51"/>
      <c r="N3" s="51"/>
      <c r="O3" s="51"/>
      <c r="P3" s="51"/>
      <c r="Q3" s="51"/>
      <c r="R3" s="51"/>
      <c r="S3" s="51"/>
      <c r="T3" s="51"/>
      <c r="U3" s="51"/>
      <c r="V3" s="51"/>
      <c r="W3" s="51"/>
      <c r="X3" s="51"/>
      <c r="Y3" s="51"/>
      <c r="Z3" s="51"/>
      <c r="AA3" s="51"/>
      <c r="AB3" s="51"/>
      <c r="AC3" s="51"/>
      <c r="AD3" s="43"/>
    </row>
    <row r="4" spans="1:30" s="44" customFormat="1" ht="47.1" customHeight="1" x14ac:dyDescent="0.3">
      <c r="A4" s="64"/>
      <c r="B4" s="64"/>
      <c r="C4" s="81"/>
      <c r="D4" s="265" t="s">
        <v>217</v>
      </c>
      <c r="E4" s="266"/>
      <c r="F4" s="266"/>
      <c r="G4" s="81"/>
      <c r="H4" s="274" t="s">
        <v>225</v>
      </c>
      <c r="I4" s="274"/>
      <c r="J4" s="274"/>
      <c r="K4" s="274"/>
      <c r="L4" s="274"/>
      <c r="M4" s="81"/>
      <c r="N4" s="267" t="s">
        <v>150</v>
      </c>
      <c r="O4" s="267"/>
      <c r="P4" s="81"/>
      <c r="Q4" s="270" t="s">
        <v>220</v>
      </c>
      <c r="R4" s="271"/>
      <c r="S4" s="271"/>
      <c r="T4" s="272"/>
      <c r="U4" s="273" t="s">
        <v>152</v>
      </c>
      <c r="V4" s="273"/>
      <c r="W4" s="273"/>
      <c r="X4" s="81"/>
      <c r="Y4" s="264" t="s">
        <v>221</v>
      </c>
      <c r="Z4" s="81"/>
      <c r="AA4" s="43"/>
      <c r="AB4" s="43"/>
      <c r="AC4" s="43"/>
      <c r="AD4" s="43"/>
    </row>
    <row r="5" spans="1:30" s="44" customFormat="1" ht="96.6" x14ac:dyDescent="0.3">
      <c r="A5" s="268" t="s">
        <v>68</v>
      </c>
      <c r="B5" s="268" t="s">
        <v>63</v>
      </c>
      <c r="C5" s="81"/>
      <c r="D5" s="42" t="s">
        <v>161</v>
      </c>
      <c r="E5" s="42" t="s">
        <v>162</v>
      </c>
      <c r="F5" s="42" t="s">
        <v>141</v>
      </c>
      <c r="G5" s="81"/>
      <c r="H5" s="74" t="s">
        <v>142</v>
      </c>
      <c r="I5" s="74" t="s">
        <v>223</v>
      </c>
      <c r="J5" s="75" t="s">
        <v>224</v>
      </c>
      <c r="K5" s="75" t="s">
        <v>218</v>
      </c>
      <c r="L5" s="74" t="s">
        <v>143</v>
      </c>
      <c r="M5" s="81"/>
      <c r="N5" s="73" t="s">
        <v>219</v>
      </c>
      <c r="O5" s="73" t="s">
        <v>151</v>
      </c>
      <c r="P5" s="81"/>
      <c r="Q5" s="95" t="s">
        <v>153</v>
      </c>
      <c r="R5" s="96" t="s">
        <v>154</v>
      </c>
      <c r="S5" s="95" t="s">
        <v>155</v>
      </c>
      <c r="T5" s="96" t="s">
        <v>156</v>
      </c>
      <c r="U5" s="97" t="s">
        <v>157</v>
      </c>
      <c r="V5" s="97" t="s">
        <v>158</v>
      </c>
      <c r="W5" s="97" t="s">
        <v>67</v>
      </c>
      <c r="X5" s="81"/>
      <c r="Y5" s="264"/>
      <c r="Z5" s="81"/>
      <c r="AA5" s="248" t="s">
        <v>222</v>
      </c>
      <c r="AB5" s="94" t="s">
        <v>210</v>
      </c>
      <c r="AC5" s="94" t="s">
        <v>211</v>
      </c>
      <c r="AD5" s="45"/>
    </row>
    <row r="6" spans="1:30" s="80" customFormat="1" ht="15" customHeight="1" x14ac:dyDescent="0.3">
      <c r="A6" s="269"/>
      <c r="B6" s="269"/>
      <c r="C6" s="82"/>
      <c r="D6" s="78" t="s">
        <v>65</v>
      </c>
      <c r="E6" s="78" t="s">
        <v>1</v>
      </c>
      <c r="F6" s="78" t="s">
        <v>66</v>
      </c>
      <c r="G6" s="82"/>
      <c r="H6" s="78" t="s">
        <v>2</v>
      </c>
      <c r="I6" s="78" t="s">
        <v>3</v>
      </c>
      <c r="J6" s="78" t="s">
        <v>83</v>
      </c>
      <c r="K6" s="78" t="s">
        <v>114</v>
      </c>
      <c r="L6" s="78" t="s">
        <v>84</v>
      </c>
      <c r="M6" s="82"/>
      <c r="N6" s="78" t="s">
        <v>85</v>
      </c>
      <c r="O6" s="78" t="s">
        <v>115</v>
      </c>
      <c r="P6" s="82"/>
      <c r="Q6" s="78" t="s">
        <v>116</v>
      </c>
      <c r="R6" s="78" t="s">
        <v>86</v>
      </c>
      <c r="S6" s="78" t="s">
        <v>76</v>
      </c>
      <c r="T6" s="78" t="s">
        <v>117</v>
      </c>
      <c r="U6" s="78" t="s">
        <v>144</v>
      </c>
      <c r="V6" s="78" t="s">
        <v>145</v>
      </c>
      <c r="W6" s="78" t="s">
        <v>146</v>
      </c>
      <c r="X6" s="82"/>
      <c r="Y6" s="78" t="s">
        <v>147</v>
      </c>
      <c r="Z6" s="82"/>
      <c r="AA6" s="78" t="s">
        <v>148</v>
      </c>
      <c r="AB6" s="78" t="s">
        <v>159</v>
      </c>
      <c r="AC6" s="78" t="s">
        <v>149</v>
      </c>
      <c r="AD6" s="79"/>
    </row>
    <row r="7" spans="1:30" ht="20.100000000000001" customHeight="1" x14ac:dyDescent="0.3">
      <c r="A7" s="65">
        <v>4</v>
      </c>
      <c r="B7" s="66" t="s">
        <v>53</v>
      </c>
      <c r="C7" s="81"/>
      <c r="D7" s="67">
        <f>RAS!M7</f>
        <v>533</v>
      </c>
      <c r="E7" s="67">
        <f>RAS!Q7</f>
        <v>96</v>
      </c>
      <c r="F7" s="68">
        <f t="shared" ref="F7:F38" si="0">SUM(D7:E7)</f>
        <v>629</v>
      </c>
      <c r="G7" s="81"/>
      <c r="H7" s="70">
        <f>(F7-1)*'AVG RAS salary'!$F$66</f>
        <v>51339258.928142145</v>
      </c>
      <c r="I7" s="70">
        <f>(F7-1)*(VLOOKUP(B7,'FTE Allotment Factor'!$B$6:$D$63,3))</f>
        <v>75970745.256491199</v>
      </c>
      <c r="J7" s="70">
        <f>(F7-1)*(VLOOKUP(B7,'FTE Allotment Factor'!$B$6:$H$63,7))</f>
        <v>75970745.256491199</v>
      </c>
      <c r="K7" s="70">
        <f>VLOOKUP(A7,'CEO Salary'!$G$7:$H$13,2)</f>
        <v>337996.00194199994</v>
      </c>
      <c r="L7" s="70">
        <f>IF(N7&lt;&gt;0,N7*K7,K7)</f>
        <v>500159.3068803068</v>
      </c>
      <c r="M7" s="81"/>
      <c r="N7" s="85">
        <f>VLOOKUP(B7,BLS!$B$5:$I$64,8, FALSE)</f>
        <v>1.4797787666320801</v>
      </c>
      <c r="O7" s="89">
        <f>J7+L7</f>
        <v>76470904.563371509</v>
      </c>
      <c r="P7" s="81"/>
      <c r="Q7" s="87">
        <f>VLOOKUP(B7,'Program 10'!$A$7:$G$64,6)</f>
        <v>0.31572002462706655</v>
      </c>
      <c r="R7" s="70">
        <f>VLOOKUP(B7,'Program 10'!$A$7:$G$64,7)</f>
        <v>23093.809230424544</v>
      </c>
      <c r="S7" s="87">
        <f>VLOOKUP(B7,'Program 90'!$A$7:$G$64,6)</f>
        <v>0.31614661981078213</v>
      </c>
      <c r="T7" s="70">
        <f>VLOOKUP(B7,'Program 90'!$A$7:$G$64,7)</f>
        <v>24299.572727272727</v>
      </c>
      <c r="U7" s="221">
        <f>(D7*VLOOKUP(B7,'FTE Allotment Factor'!$B$6:$H$63,7,FALSE)*Q7)+(D7*R7)</f>
        <v>32666108.289955497</v>
      </c>
      <c r="V7" s="221">
        <f>((((E7-1)*VLOOKUP(B7,'FTE Allotment Factor'!$B$6:$H$63,7,FALSE))+(K7*N7))*S7)+(T7*E7)</f>
        <v>6124162.8473735135</v>
      </c>
      <c r="W7" s="222">
        <f>SUM(U7:V7)</f>
        <v>38790271.137329012</v>
      </c>
      <c r="X7" s="81"/>
      <c r="Y7" s="222">
        <f>F7*(VLOOKUP(A7, 'OE&amp;E by Cluster'!$B$6:$C$9,2,FALSE))</f>
        <v>16981048.920252975</v>
      </c>
      <c r="Z7" s="81"/>
      <c r="AA7" s="70">
        <f>'AB1058'!E5</f>
        <v>2173733.02</v>
      </c>
      <c r="AB7" s="89">
        <f>(O7+W7+Y7)-AA7</f>
        <v>130068491.6009535</v>
      </c>
      <c r="AC7" s="91">
        <f t="shared" ref="AC7:AC38" si="1">AB7/$AB$65</f>
        <v>3.5640606087300249E-2</v>
      </c>
      <c r="AD7" s="243">
        <f>AB7/F7</f>
        <v>206786.15516844756</v>
      </c>
    </row>
    <row r="8" spans="1:30" ht="20.100000000000001" customHeight="1" x14ac:dyDescent="0.3">
      <c r="A8" s="65">
        <v>1</v>
      </c>
      <c r="B8" s="66" t="s">
        <v>4</v>
      </c>
      <c r="D8" s="67">
        <f>RAS!M8</f>
        <v>2</v>
      </c>
      <c r="E8" s="67">
        <f>RAS!Q8</f>
        <v>1</v>
      </c>
      <c r="F8" s="68">
        <f t="shared" si="0"/>
        <v>3</v>
      </c>
      <c r="H8" s="71">
        <f>(F8-1)*'AVG RAS salary'!$F$66</f>
        <v>163500.82461191766</v>
      </c>
      <c r="I8" s="71">
        <f>(F8-1)*(VLOOKUP(B8,'FTE Allotment Factor'!$B$6:$D$63,3))</f>
        <v>122936.94528116264</v>
      </c>
      <c r="J8" s="71">
        <f>(F8-1)*(VLOOKUP(B8,'FTE Allotment Factor'!$B$6:$H$63,7))</f>
        <v>124628.76769998817</v>
      </c>
      <c r="K8" s="240">
        <f>VLOOKUP(A8,'CEO Salary'!$G$7:$H$13,2)</f>
        <v>159403.30333333334</v>
      </c>
      <c r="L8" s="240">
        <f>IF(N8&lt;&gt;0,N8*K8,K8)</f>
        <v>119856.00210910599</v>
      </c>
      <c r="N8" s="85">
        <f>VLOOKUP(B8,BLS!$B$5:$I$64,8, FALSE)</f>
        <v>0.75190412998199463</v>
      </c>
      <c r="O8" s="90">
        <f t="shared" ref="O8:O9" si="2">J8+L8</f>
        <v>244484.76980909414</v>
      </c>
      <c r="Q8" s="87">
        <f>VLOOKUP(B8,'Program 10'!$A$7:$G$64,6)</f>
        <v>0.24387610410658186</v>
      </c>
      <c r="R8" s="8">
        <f>VLOOKUP(B8,'Program 10'!$A$7:$G$64,7)</f>
        <v>23863.282238445943</v>
      </c>
      <c r="S8" s="87">
        <f>VLOOKUP(B8,'Program 90'!$A$7:$G$64,6)</f>
        <v>0.49075999999999997</v>
      </c>
      <c r="T8" s="8">
        <f>VLOOKUP(B8,'Program 90'!$A$7:$G$64,7)</f>
        <v>31684.844472361801</v>
      </c>
      <c r="U8" s="72">
        <f>(D8*VLOOKUP(B8,'FTE Allotment Factor'!$B$7:$H$64,7,FALSE)*Q8)+(D8*R8)</f>
        <v>78120.542803169199</v>
      </c>
      <c r="V8" s="72">
        <f>((((E8-1)*VLOOKUP(B8,'FTE Allotment Factor'!$B$7:$H$64,7,FALSE))+(K8*N8))*S8)+(T8*E8)</f>
        <v>90505.376067426652</v>
      </c>
      <c r="W8" s="90">
        <f t="shared" ref="W8:W38" si="3">SUM(U8:V8)</f>
        <v>168625.91887059587</v>
      </c>
      <c r="Y8" s="90">
        <f>F8*(VLOOKUP(A8, 'OE&amp;E by Cluster'!$B$6:$C$9,2,FALSE))</f>
        <v>124580.24959682045</v>
      </c>
      <c r="AA8" s="240">
        <f>'AB1058'!E6</f>
        <v>0</v>
      </c>
      <c r="AB8" s="90">
        <f t="shared" ref="AB8:AB38" si="4">(O8+W8+Y8)-AA8</f>
        <v>537690.93827651045</v>
      </c>
      <c r="AC8" s="92">
        <f t="shared" si="1"/>
        <v>1.4733492094778393E-4</v>
      </c>
      <c r="AD8" s="55">
        <f t="shared" ref="AD8:AD64" si="5">AB8/F8</f>
        <v>179230.31275883681</v>
      </c>
    </row>
    <row r="9" spans="1:30" ht="20.100000000000001" customHeight="1" x14ac:dyDescent="0.3">
      <c r="A9" s="65">
        <v>1</v>
      </c>
      <c r="B9" s="66" t="s">
        <v>5</v>
      </c>
      <c r="D9" s="67">
        <f>RAS!M9</f>
        <v>27</v>
      </c>
      <c r="E9" s="67">
        <f>RAS!Q9</f>
        <v>9</v>
      </c>
      <c r="F9" s="68">
        <f t="shared" si="0"/>
        <v>36</v>
      </c>
      <c r="H9" s="71">
        <f>(F9-1)*'AVG RAS salary'!$F$66</f>
        <v>2861264.4307085592</v>
      </c>
      <c r="I9" s="71">
        <f>(F9-1)*(VLOOKUP(B9,'FTE Allotment Factor'!$B$6:$D$63,3))</f>
        <v>2653781.5149640325</v>
      </c>
      <c r="J9" s="71">
        <f>(F9-1)*(VLOOKUP(B9,'FTE Allotment Factor'!$B$6:$H$63,7))</f>
        <v>2653781.5149640325</v>
      </c>
      <c r="K9" s="240">
        <f>VLOOKUP(A9,'CEO Salary'!$G$7:$H$13,2)</f>
        <v>159403.30333333334</v>
      </c>
      <c r="L9" s="240">
        <f t="shared" ref="L9:L51" si="6">IF(N9&lt;&gt;0,N9*K9,K9)</f>
        <v>147844.26607695542</v>
      </c>
      <c r="N9" s="85">
        <f>VLOOKUP(B9,BLS!$B$5:$I$64,8, FALSE)</f>
        <v>0.92748558521270752</v>
      </c>
      <c r="O9" s="90">
        <f t="shared" si="2"/>
        <v>2801625.7810409879</v>
      </c>
      <c r="Q9" s="87">
        <f>VLOOKUP(B9,'Program 10'!$A$7:$G$64,6)</f>
        <v>0.41099999999999992</v>
      </c>
      <c r="R9" s="8">
        <f>VLOOKUP(B9,'Program 10'!$A$7:$G$64,7)</f>
        <v>13524.899014084511</v>
      </c>
      <c r="S9" s="87">
        <f>VLOOKUP(B9,'Program 90'!$A$7:$G$64,6)</f>
        <v>0.41100000000000003</v>
      </c>
      <c r="T9" s="8">
        <f>VLOOKUP(B9,'Program 90'!$A$7:$G$64,7)</f>
        <v>9612.0289690721656</v>
      </c>
      <c r="U9" s="72">
        <f>(D9*VLOOKUP(B9,'FTE Allotment Factor'!$B$7:$H$64,7,FALSE)*Q9)+(D9*R9)</f>
        <v>1206572.6582818779</v>
      </c>
      <c r="V9" s="72">
        <f>((((E9-1)*VLOOKUP(B9,'FTE Allotment Factor'!$B$7:$H$64,7,FALSE))+(K9*N9))*S9)+(T9*E9)</f>
        <v>396576.07182789932</v>
      </c>
      <c r="W9" s="90">
        <f t="shared" si="3"/>
        <v>1603148.7301097773</v>
      </c>
      <c r="Y9" s="90">
        <f>F9*(VLOOKUP(A9, 'OE&amp;E by Cluster'!$B$6:$C$9,2,FALSE))</f>
        <v>1494962.9951618453</v>
      </c>
      <c r="AA9" s="240">
        <f>'AB1058'!E7</f>
        <v>135086.51</v>
      </c>
      <c r="AB9" s="90">
        <f t="shared" si="4"/>
        <v>5764650.9963126108</v>
      </c>
      <c r="AC9" s="91">
        <f t="shared" si="1"/>
        <v>1.5795958949126041E-3</v>
      </c>
      <c r="AD9" s="55">
        <f t="shared" si="5"/>
        <v>160129.19434201697</v>
      </c>
    </row>
    <row r="10" spans="1:30" ht="20.100000000000001" customHeight="1" x14ac:dyDescent="0.3">
      <c r="A10" s="65">
        <v>2</v>
      </c>
      <c r="B10" s="66" t="s">
        <v>19</v>
      </c>
      <c r="D10" s="67">
        <f>RAS!M10</f>
        <v>105</v>
      </c>
      <c r="E10" s="67">
        <f>RAS!Q10</f>
        <v>23</v>
      </c>
      <c r="F10" s="68">
        <f t="shared" si="0"/>
        <v>128</v>
      </c>
      <c r="H10" s="71">
        <f>(F10-1)*'AVG RAS salary'!$F$66</f>
        <v>10382302.362856772</v>
      </c>
      <c r="I10" s="71">
        <f>(F10-1)*(VLOOKUP(B10,'FTE Allotment Factor'!$B$6:$D$63,3))</f>
        <v>9023332.9801966213</v>
      </c>
      <c r="J10" s="71">
        <f>(F10-1)*(VLOOKUP(B10,'FTE Allotment Factor'!$B$6:$H$63,7))</f>
        <v>9023332.9801966213</v>
      </c>
      <c r="K10" s="240">
        <f>VLOOKUP(A10,'CEO Salary'!$G$7:$H$13,2)</f>
        <v>223556.37369018179</v>
      </c>
      <c r="L10" s="240">
        <f t="shared" si="6"/>
        <v>194294.43770280667</v>
      </c>
      <c r="N10" s="85">
        <f>VLOOKUP(B10,BLS!$B$5:$I$64,8, FALSE)</f>
        <v>0.86910712718963623</v>
      </c>
      <c r="O10" s="90">
        <f>J10+L10</f>
        <v>9217627.4178994279</v>
      </c>
      <c r="Q10" s="87">
        <f>VLOOKUP(B10,'Program 10'!$A$7:$G$64,6)</f>
        <v>0.35608058856957026</v>
      </c>
      <c r="R10" s="8">
        <f>VLOOKUP(B10,'Program 10'!$A$7:$G$64,7)</f>
        <v>16670.455534780886</v>
      </c>
      <c r="S10" s="87">
        <f>VLOOKUP(B10,'Program 90'!$A$7:$G$64,6)</f>
        <v>0.35313347833994535</v>
      </c>
      <c r="T10" s="8">
        <f>VLOOKUP(B10,'Program 90'!$A$7:$G$64,7)</f>
        <v>17449.292970386145</v>
      </c>
      <c r="U10" s="72">
        <f>(D10*VLOOKUP(B10,'FTE Allotment Factor'!$B$7:$H$64,7,FALSE)*Q10)+(D10*R10)</f>
        <v>4406843.0314433388</v>
      </c>
      <c r="V10" s="72">
        <f>((((E10-1)*VLOOKUP(B10,'FTE Allotment Factor'!$B$7:$H$64,7,FALSE))+(K10*N10))*S10)+(T10*E10)</f>
        <v>1021927.5077723342</v>
      </c>
      <c r="W10" s="90">
        <f t="shared" si="3"/>
        <v>5428770.5392156728</v>
      </c>
      <c r="Y10" s="90">
        <f>F10*(VLOOKUP(A10, 'OE&amp;E by Cluster'!$B$6:$C$9,2,FALSE))</f>
        <v>3455602.9599242937</v>
      </c>
      <c r="AA10" s="240">
        <f>'AB1058'!E8</f>
        <v>286432.98</v>
      </c>
      <c r="AB10" s="90">
        <f t="shared" si="4"/>
        <v>17815567.937039394</v>
      </c>
      <c r="AC10" s="91">
        <f t="shared" si="1"/>
        <v>4.8817175570359476E-3</v>
      </c>
      <c r="AD10" s="55">
        <f t="shared" si="5"/>
        <v>139184.12450812027</v>
      </c>
    </row>
    <row r="11" spans="1:30" ht="20.100000000000001" customHeight="1" x14ac:dyDescent="0.3">
      <c r="A11" s="65">
        <v>1</v>
      </c>
      <c r="B11" s="66" t="s">
        <v>6</v>
      </c>
      <c r="C11" s="83"/>
      <c r="D11" s="67">
        <f>RAS!M11</f>
        <v>21</v>
      </c>
      <c r="E11" s="67">
        <f>RAS!Q11</f>
        <v>7</v>
      </c>
      <c r="F11" s="68">
        <f t="shared" si="0"/>
        <v>28</v>
      </c>
      <c r="G11" s="83"/>
      <c r="H11" s="71">
        <f>(F11-1)*'AVG RAS salary'!$F$66</f>
        <v>2207261.1322608883</v>
      </c>
      <c r="I11" s="71">
        <f>(F11-1)*(VLOOKUP(B11,'FTE Allotment Factor'!$B$6:$D$63,3))</f>
        <v>1903440.4234991178</v>
      </c>
      <c r="J11" s="71">
        <f>(F11-1)*(VLOOKUP(B11,'FTE Allotment Factor'!$B$6:$H$63,7))</f>
        <v>1903440.4234991178</v>
      </c>
      <c r="K11" s="240">
        <f>VLOOKUP(A11,'CEO Salary'!$G$7:$H$13,2)</f>
        <v>159403.30333333334</v>
      </c>
      <c r="L11" s="240">
        <f t="shared" si="6"/>
        <v>137462.07314092101</v>
      </c>
      <c r="M11" s="83"/>
      <c r="N11" s="85">
        <f>VLOOKUP(B11,BLS!$B$5:$I$64,8, FALSE)</f>
        <v>0.86235398054122925</v>
      </c>
      <c r="O11" s="90">
        <f>J11+L11</f>
        <v>2040902.4966400389</v>
      </c>
      <c r="P11" s="83"/>
      <c r="Q11" s="87">
        <f>VLOOKUP(B11,'Program 10'!$A$7:$G$64,6)</f>
        <v>0.2283780857552779</v>
      </c>
      <c r="R11" s="8">
        <f>VLOOKUP(B11,'Program 10'!$A$7:$G$64,7)</f>
        <v>24692.229108280251</v>
      </c>
      <c r="S11" s="87">
        <f>VLOOKUP(B11,'Program 90'!$A$7:$G$64,6)</f>
        <v>0.22390068308887526</v>
      </c>
      <c r="T11" s="8">
        <f>VLOOKUP(B11,'Program 90'!$A$7:$G$64,7)</f>
        <v>13656.937391304347</v>
      </c>
      <c r="U11" s="72">
        <f>(D11*VLOOKUP(B11,'FTE Allotment Factor'!$B$7:$H$64,7,FALSE)*Q11)+(D11*R11)</f>
        <v>856639.98481561942</v>
      </c>
      <c r="V11" s="72">
        <f>((((E11-1)*VLOOKUP(B11,'FTE Allotment Factor'!$B$7:$H$64,7,FALSE))+(K11*N11))*S11)+(T11*E11)</f>
        <v>221083.4384898468</v>
      </c>
      <c r="W11" s="90">
        <f t="shared" si="3"/>
        <v>1077723.4233054663</v>
      </c>
      <c r="X11" s="83"/>
      <c r="Y11" s="90">
        <f>F11*(VLOOKUP(A11, 'OE&amp;E by Cluster'!$B$6:$C$9,2,FALSE))</f>
        <v>1162748.9962369907</v>
      </c>
      <c r="Z11" s="83"/>
      <c r="AA11" s="240">
        <f>'AB1058'!E9</f>
        <v>99508.74000000002</v>
      </c>
      <c r="AB11" s="90">
        <f t="shared" si="4"/>
        <v>4181866.1761824954</v>
      </c>
      <c r="AC11" s="91">
        <f t="shared" si="1"/>
        <v>1.1458904709404061E-3</v>
      </c>
      <c r="AD11" s="55">
        <f t="shared" si="5"/>
        <v>149352.36343508912</v>
      </c>
    </row>
    <row r="12" spans="1:30" ht="20.100000000000001" customHeight="1" x14ac:dyDescent="0.3">
      <c r="A12" s="65">
        <v>1</v>
      </c>
      <c r="B12" s="66" t="s">
        <v>7</v>
      </c>
      <c r="D12" s="67">
        <f>RAS!M12</f>
        <v>14</v>
      </c>
      <c r="E12" s="67">
        <f>RAS!Q12</f>
        <v>5</v>
      </c>
      <c r="F12" s="68">
        <f t="shared" si="0"/>
        <v>19</v>
      </c>
      <c r="H12" s="71">
        <f>(F12-1)*'AVG RAS salary'!$F$66</f>
        <v>1471507.4215072589</v>
      </c>
      <c r="I12" s="71">
        <f>(F12-1)*(VLOOKUP(B12,'FTE Allotment Factor'!$B$6:$D$63,3))</f>
        <v>1109611.4208248453</v>
      </c>
      <c r="J12" s="71">
        <f>(F12-1)*(VLOOKUP(B12,'FTE Allotment Factor'!$B$6:$H$63,7))</f>
        <v>1121658.9092998935</v>
      </c>
      <c r="K12" s="240">
        <f>VLOOKUP(A12,'CEO Salary'!$G$7:$H$13,2)</f>
        <v>159403.30333333334</v>
      </c>
      <c r="L12" s="240">
        <f t="shared" si="6"/>
        <v>120200.36277812363</v>
      </c>
      <c r="N12" s="85">
        <f>VLOOKUP(B12,BLS!$B$5:$I$64,8, FALSE)</f>
        <v>0.75406444072723389</v>
      </c>
      <c r="O12" s="90">
        <f t="shared" ref="O12:O63" si="7">J12+L12</f>
        <v>1241859.2720780172</v>
      </c>
      <c r="Q12" s="87">
        <f>VLOOKUP(B12,'Program 10'!$A$7:$G$64,6)</f>
        <v>0.50649999999999962</v>
      </c>
      <c r="R12" s="8">
        <f>VLOOKUP(B12,'Program 10'!$A$7:$G$64,7)</f>
        <v>31544.828756476709</v>
      </c>
      <c r="S12" s="87">
        <f>VLOOKUP(B12,'Program 90'!$A$7:$G$64,6)</f>
        <v>0.41117503677147921</v>
      </c>
      <c r="T12" s="8">
        <f>VLOOKUP(B12,'Program 90'!$A$7:$G$64,7)</f>
        <v>8951.20652173913</v>
      </c>
      <c r="U12" s="72">
        <f>(D12*VLOOKUP(B12,'FTE Allotment Factor'!$B$7:$H$64,7,FALSE)*Q12)+(D12*R12)</f>
        <v>883498.89847098163</v>
      </c>
      <c r="V12" s="72">
        <f>((((E12-1)*VLOOKUP(B12,'FTE Allotment Factor'!$B$7:$H$64,7,FALSE))+(K12*N12))*S12)+(T12*E12)</f>
        <v>196667.89747758931</v>
      </c>
      <c r="W12" s="90">
        <f t="shared" si="3"/>
        <v>1080166.7959485711</v>
      </c>
      <c r="Y12" s="90">
        <f>F12*(VLOOKUP(A12, 'OE&amp;E by Cluster'!$B$6:$C$9,2,FALSE))</f>
        <v>789008.24744652945</v>
      </c>
      <c r="AA12" s="240">
        <f>'AB1058'!E10</f>
        <v>79239.700000000012</v>
      </c>
      <c r="AB12" s="90">
        <f t="shared" si="4"/>
        <v>3031794.6154731177</v>
      </c>
      <c r="AC12" s="91">
        <f t="shared" si="1"/>
        <v>8.3075459934743481E-4</v>
      </c>
      <c r="AD12" s="55">
        <f t="shared" si="5"/>
        <v>159568.13765647987</v>
      </c>
    </row>
    <row r="13" spans="1:30" ht="20.100000000000001" customHeight="1" x14ac:dyDescent="0.3">
      <c r="A13" s="65">
        <v>3</v>
      </c>
      <c r="B13" s="66" t="s">
        <v>41</v>
      </c>
      <c r="D13" s="67">
        <f>RAS!M13</f>
        <v>339</v>
      </c>
      <c r="E13" s="67">
        <f>RAS!Q13</f>
        <v>56</v>
      </c>
      <c r="F13" s="68">
        <f t="shared" si="0"/>
        <v>395</v>
      </c>
      <c r="H13" s="71">
        <f>(F13-1)*'AVG RAS salary'!$F$66</f>
        <v>32209662.448547781</v>
      </c>
      <c r="I13" s="71">
        <f>(F13-1)*(VLOOKUP(B13,'FTE Allotment Factor'!$B$6:$D$63,3))</f>
        <v>42281648.003324501</v>
      </c>
      <c r="J13" s="71">
        <f>(F13-1)*(VLOOKUP(B13,'FTE Allotment Factor'!$B$6:$H$63,7))</f>
        <v>42281648.003324501</v>
      </c>
      <c r="K13" s="240">
        <f>VLOOKUP(A13,'CEO Salary'!$G$7:$H$13,2)</f>
        <v>250146.99852715383</v>
      </c>
      <c r="L13" s="240">
        <f t="shared" si="6"/>
        <v>328368.15218751581</v>
      </c>
      <c r="N13" s="85">
        <f>VLOOKUP(B13,BLS!$B$5:$I$64,8, FALSE)</f>
        <v>1.3127007484436035</v>
      </c>
      <c r="O13" s="90">
        <f t="shared" si="7"/>
        <v>42610016.15551202</v>
      </c>
      <c r="Q13" s="87">
        <f>VLOOKUP(B13,'Program 10'!$A$7:$G$64,6)</f>
        <v>0.29159456212270152</v>
      </c>
      <c r="R13" s="8">
        <f>VLOOKUP(B13,'Program 10'!$A$7:$G$64,7)</f>
        <v>27255.136745843305</v>
      </c>
      <c r="S13" s="87">
        <f>VLOOKUP(B13,'Program 90'!$A$7:$G$64,6)</f>
        <v>0.29484313658839006</v>
      </c>
      <c r="T13" s="8">
        <f>VLOOKUP(B13,'Program 90'!$A$7:$G$64,7)</f>
        <v>28630.054805895776</v>
      </c>
      <c r="U13" s="72">
        <f>(D13*VLOOKUP(B13,'FTE Allotment Factor'!$B$7:$H$64,7,FALSE)*Q13)+(D13*R13)</f>
        <v>19847522.923809282</v>
      </c>
      <c r="V13" s="72">
        <f>((((E13-1)*VLOOKUP(B13,'FTE Allotment Factor'!$B$7:$H$64,7,FALSE))+(K13*N13))*S13)+(T13*E13)</f>
        <v>3440341.1662404537</v>
      </c>
      <c r="W13" s="90">
        <f t="shared" si="3"/>
        <v>23287864.090049736</v>
      </c>
      <c r="Y13" s="90">
        <f>F13*(VLOOKUP(A13, 'OE&amp;E by Cluster'!$B$6:$C$9,2,FALSE))</f>
        <v>10663774.759141374</v>
      </c>
      <c r="AA13" s="240">
        <f>'AB1058'!E11</f>
        <v>1024182.06</v>
      </c>
      <c r="AB13" s="90">
        <f t="shared" si="4"/>
        <v>75537472.944703132</v>
      </c>
      <c r="AC13" s="91">
        <f t="shared" si="1"/>
        <v>2.0698335814578851E-2</v>
      </c>
      <c r="AD13" s="55">
        <f t="shared" si="5"/>
        <v>191234.10872076743</v>
      </c>
    </row>
    <row r="14" spans="1:30" ht="20.100000000000001" customHeight="1" x14ac:dyDescent="0.3">
      <c r="A14" s="65">
        <v>1</v>
      </c>
      <c r="B14" s="66" t="s">
        <v>8</v>
      </c>
      <c r="D14" s="67">
        <f>RAS!M14</f>
        <v>22</v>
      </c>
      <c r="E14" s="67">
        <f>RAS!Q14</f>
        <v>8</v>
      </c>
      <c r="F14" s="68">
        <f t="shared" si="0"/>
        <v>30</v>
      </c>
      <c r="H14" s="71">
        <f>(F14-1)*'AVG RAS salary'!$F$66</f>
        <v>2370761.956872806</v>
      </c>
      <c r="I14" s="71">
        <f>(F14-1)*(VLOOKUP(B14,'FTE Allotment Factor'!$B$6:$D$63,3))</f>
        <v>1782382.5050627345</v>
      </c>
      <c r="J14" s="71">
        <f>(F14-1)*(VLOOKUP(B14,'FTE Allotment Factor'!$B$6:$H$63,7))</f>
        <v>1807117.1316498285</v>
      </c>
      <c r="K14" s="240">
        <f>VLOOKUP(A14,'CEO Salary'!$G$7:$H$13,2)</f>
        <v>159403.30333333334</v>
      </c>
      <c r="L14" s="240">
        <f t="shared" si="6"/>
        <v>119842.33941618999</v>
      </c>
      <c r="N14" s="85">
        <f>VLOOKUP(B14,BLS!$B$5:$I$64,8, FALSE)</f>
        <v>0.75181841850280762</v>
      </c>
      <c r="O14" s="90">
        <f t="shared" si="7"/>
        <v>1926959.4710660186</v>
      </c>
      <c r="Q14" s="87">
        <f>VLOOKUP(B14,'Program 10'!$A$7:$G$64,6)</f>
        <v>0.30586186755381317</v>
      </c>
      <c r="R14" s="8">
        <f>VLOOKUP(B14,'Program 10'!$A$7:$G$64,7)</f>
        <v>32319.00045552478</v>
      </c>
      <c r="S14" s="87">
        <f>VLOOKUP(B14,'Program 90'!$A$7:$G$64,6)</f>
        <v>0.32881998179335459</v>
      </c>
      <c r="T14" s="8">
        <f>VLOOKUP(B14,'Program 90'!$A$7:$G$64,7)</f>
        <v>34220.080000000002</v>
      </c>
      <c r="U14" s="72">
        <f>(D14*VLOOKUP(B14,'FTE Allotment Factor'!$B$7:$H$64,7,FALSE)*Q14)+(D14*R14)</f>
        <v>1130329.074057681</v>
      </c>
      <c r="V14" s="72">
        <f>((((E14-1)*VLOOKUP(B14,'FTE Allotment Factor'!$B$7:$H$64,7,FALSE))+(K14*N14))*S14)+(T14*E14)</f>
        <v>456598.69780603878</v>
      </c>
      <c r="W14" s="90">
        <f t="shared" si="3"/>
        <v>1586927.7718637199</v>
      </c>
      <c r="Y14" s="90">
        <f>F14*(VLOOKUP(A14, 'OE&amp;E by Cluster'!$B$6:$C$9,2,FALSE))</f>
        <v>1245802.4959682045</v>
      </c>
      <c r="AA14" s="240">
        <f>'AB1058'!E12</f>
        <v>107627.33</v>
      </c>
      <c r="AB14" s="90">
        <f t="shared" si="4"/>
        <v>4652062.4088979429</v>
      </c>
      <c r="AC14" s="91">
        <f t="shared" si="1"/>
        <v>1.2747308880750735E-3</v>
      </c>
      <c r="AD14" s="55">
        <f t="shared" si="5"/>
        <v>155068.74696326477</v>
      </c>
    </row>
    <row r="15" spans="1:30" ht="20.100000000000001" customHeight="1" x14ac:dyDescent="0.3">
      <c r="A15" s="65">
        <v>2</v>
      </c>
      <c r="B15" s="66" t="s">
        <v>20</v>
      </c>
      <c r="D15" s="67">
        <f>RAS!M15</f>
        <v>72</v>
      </c>
      <c r="E15" s="67">
        <f>RAS!Q15</f>
        <v>15</v>
      </c>
      <c r="F15" s="68">
        <f t="shared" si="0"/>
        <v>87</v>
      </c>
      <c r="H15" s="71">
        <f>(F15-1)*'AVG RAS salary'!$F$66</f>
        <v>7030535.4583124593</v>
      </c>
      <c r="I15" s="71">
        <f>(F15-1)*(VLOOKUP(B15,'FTE Allotment Factor'!$B$6:$D$63,3))</f>
        <v>7949553.7797150472</v>
      </c>
      <c r="J15" s="71">
        <f>(F15-1)*(VLOOKUP(B15,'FTE Allotment Factor'!$B$6:$H$63,7))</f>
        <v>7949553.7797150472</v>
      </c>
      <c r="K15" s="240">
        <f>VLOOKUP(A15,'CEO Salary'!$G$7:$H$13,2)</f>
        <v>223556.37369018179</v>
      </c>
      <c r="L15" s="240">
        <f t="shared" si="6"/>
        <v>252779.24078271407</v>
      </c>
      <c r="N15" s="85">
        <f>VLOOKUP(B15,BLS!$B$5:$I$64,8, FALSE)</f>
        <v>1.1307181119918823</v>
      </c>
      <c r="O15" s="90">
        <f t="shared" si="7"/>
        <v>8202333.0204977617</v>
      </c>
      <c r="Q15" s="87">
        <f>VLOOKUP(B15,'Program 10'!$A$7:$G$64,6)</f>
        <v>0.35728000000000015</v>
      </c>
      <c r="R15" s="8">
        <f>VLOOKUP(B15,'Program 10'!$A$7:$G$64,7)</f>
        <v>32056.759528487244</v>
      </c>
      <c r="S15" s="87">
        <f>VLOOKUP(B15,'Program 90'!$A$7:$G$64,6)</f>
        <v>0.35728000000000004</v>
      </c>
      <c r="T15" s="8">
        <f>VLOOKUP(B15,'Program 90'!$A$7:$G$64,7)</f>
        <v>28006.923673965943</v>
      </c>
      <c r="U15" s="72">
        <f>(D15*VLOOKUP(B15,'FTE Allotment Factor'!$B$7:$H$64,7,FALSE)*Q15)+(D15*R15)</f>
        <v>4685942.4227719503</v>
      </c>
      <c r="V15" s="72">
        <f>((((E15-1)*VLOOKUP(B15,'FTE Allotment Factor'!$B$7:$H$64,7,FALSE))+(K15*N15))*S15)+(T15*E15)</f>
        <v>972777.65995206148</v>
      </c>
      <c r="W15" s="90">
        <f t="shared" si="3"/>
        <v>5658720.0827240115</v>
      </c>
      <c r="Y15" s="90">
        <f>F15*(VLOOKUP(A15, 'OE&amp;E by Cluster'!$B$6:$C$9,2,FALSE))</f>
        <v>2348730.1368235433</v>
      </c>
      <c r="AA15" s="240">
        <f>'AB1058'!E13</f>
        <v>185739.02000000002</v>
      </c>
      <c r="AB15" s="90">
        <f t="shared" si="4"/>
        <v>16024044.220045317</v>
      </c>
      <c r="AC15" s="91">
        <f t="shared" si="1"/>
        <v>4.3908147234016891E-3</v>
      </c>
      <c r="AD15" s="55">
        <f t="shared" si="5"/>
        <v>184184.41632235996</v>
      </c>
    </row>
    <row r="16" spans="1:30" ht="20.100000000000001" customHeight="1" x14ac:dyDescent="0.3">
      <c r="A16" s="65">
        <v>3</v>
      </c>
      <c r="B16" s="66" t="s">
        <v>42</v>
      </c>
      <c r="D16" s="67">
        <f>RAS!M16</f>
        <v>521</v>
      </c>
      <c r="E16" s="67">
        <f>RAS!Q16</f>
        <v>86</v>
      </c>
      <c r="F16" s="68">
        <f t="shared" si="0"/>
        <v>607</v>
      </c>
      <c r="H16" s="71">
        <f>(F16-1)*'AVG RAS salary'!$F$66</f>
        <v>49540749.857411049</v>
      </c>
      <c r="I16" s="71">
        <f>(F16-1)*(VLOOKUP(B16,'FTE Allotment Factor'!$B$6:$D$63,3))</f>
        <v>47230754.99612394</v>
      </c>
      <c r="J16" s="71">
        <f>(F16-1)*(VLOOKUP(B16,'FTE Allotment Factor'!$B$6:$H$63,7))</f>
        <v>47230754.99612394</v>
      </c>
      <c r="K16" s="240">
        <f>VLOOKUP(A16,'CEO Salary'!$G$7:$H$13,2)</f>
        <v>250146.99852715383</v>
      </c>
      <c r="L16" s="240">
        <f t="shared" si="6"/>
        <v>238483.09996229029</v>
      </c>
      <c r="N16" s="85">
        <f>VLOOKUP(B16,BLS!$B$5:$I$64,8, FALSE)</f>
        <v>0.95337182283401489</v>
      </c>
      <c r="O16" s="90">
        <f t="shared" si="7"/>
        <v>47469238.096086226</v>
      </c>
      <c r="Q16" s="87">
        <f>VLOOKUP(B16,'Program 10'!$A$7:$G$64,6)</f>
        <v>0.56292987005372019</v>
      </c>
      <c r="R16" s="8">
        <f>VLOOKUP(B16,'Program 10'!$A$7:$G$64,7)</f>
        <v>18990.029115971822</v>
      </c>
      <c r="S16" s="87">
        <f>VLOOKUP(B16,'Program 90'!$A$7:$G$64,6)</f>
        <v>0.57559711841339811</v>
      </c>
      <c r="T16" s="8">
        <f>VLOOKUP(B16,'Program 90'!$A$7:$G$64,7)</f>
        <v>19008.102720000003</v>
      </c>
      <c r="U16" s="72">
        <f>(D16*VLOOKUP(B16,'FTE Allotment Factor'!$B$7:$H$64,7,FALSE)*Q16)+(D16*R16)</f>
        <v>32752123.724662613</v>
      </c>
      <c r="V16" s="72">
        <f>((((E16-1)*VLOOKUP(B16,'FTE Allotment Factor'!$B$7:$H$64,7,FALSE))+(K16*N16))*S16)+(T16*E16)</f>
        <v>5585168.9175336417</v>
      </c>
      <c r="W16" s="90">
        <f t="shared" si="3"/>
        <v>38337292.642196253</v>
      </c>
      <c r="Y16" s="90">
        <f>F16*(VLOOKUP(A16, 'OE&amp;E by Cluster'!$B$6:$C$9,2,FALSE))</f>
        <v>16387117.161515987</v>
      </c>
      <c r="AA16" s="240">
        <f>'AB1058'!E14</f>
        <v>2568960.04</v>
      </c>
      <c r="AB16" s="90">
        <f t="shared" si="4"/>
        <v>99624687.859798446</v>
      </c>
      <c r="AC16" s="91">
        <f t="shared" si="1"/>
        <v>2.7298573335306449E-2</v>
      </c>
      <c r="AD16" s="55">
        <f t="shared" si="5"/>
        <v>164126.3391429958</v>
      </c>
    </row>
    <row r="17" spans="1:30" ht="20.100000000000001" customHeight="1" x14ac:dyDescent="0.3">
      <c r="A17" s="65">
        <v>1</v>
      </c>
      <c r="B17" s="66" t="s">
        <v>9</v>
      </c>
      <c r="C17" s="83"/>
      <c r="D17" s="67">
        <f>RAS!M17</f>
        <v>18</v>
      </c>
      <c r="E17" s="67">
        <f>RAS!Q17</f>
        <v>8</v>
      </c>
      <c r="F17" s="68">
        <f t="shared" si="0"/>
        <v>26</v>
      </c>
      <c r="G17" s="83"/>
      <c r="H17" s="71">
        <f>(F17-1)*'AVG RAS salary'!$F$66</f>
        <v>2043760.3076489707</v>
      </c>
      <c r="I17" s="71">
        <f>(F17-1)*(VLOOKUP(B17,'FTE Allotment Factor'!$B$6:$D$63,3))</f>
        <v>1545844.7256572924</v>
      </c>
      <c r="J17" s="71">
        <f>(F17-1)*(VLOOKUP(B17,'FTE Allotment Factor'!$B$6:$H$63,7))</f>
        <v>1557859.5962498521</v>
      </c>
      <c r="K17" s="240">
        <f>VLOOKUP(A17,'CEO Salary'!$G$7:$H$13,2)</f>
        <v>159403.30333333334</v>
      </c>
      <c r="L17" s="240">
        <f t="shared" si="6"/>
        <v>120568.32437148293</v>
      </c>
      <c r="M17" s="83"/>
      <c r="N17" s="85">
        <f>VLOOKUP(B17,BLS!$B$5:$I$64,8, FALSE)</f>
        <v>0.75637280941009521</v>
      </c>
      <c r="O17" s="90">
        <f t="shared" si="7"/>
        <v>1678427.920621335</v>
      </c>
      <c r="P17" s="83"/>
      <c r="Q17" s="87">
        <f>VLOOKUP(B17,'Program 10'!$A$7:$G$64,6)</f>
        <v>0.17259999999999998</v>
      </c>
      <c r="R17" s="8">
        <f>VLOOKUP(B17,'Program 10'!$A$7:$G$64,7)</f>
        <v>41220.879913419914</v>
      </c>
      <c r="S17" s="87">
        <f>VLOOKUP(B17,'Program 90'!$A$7:$G$64,6)</f>
        <v>0.1726</v>
      </c>
      <c r="T17" s="8">
        <f>VLOOKUP(B17,'Program 90'!$A$7:$G$64,7)</f>
        <v>43199.54516129032</v>
      </c>
      <c r="U17" s="72">
        <f>(D17*VLOOKUP(B17,'FTE Allotment Factor'!$B$7:$H$64,7,FALSE)*Q17)+(D17*R17)</f>
        <v>935574.16618672002</v>
      </c>
      <c r="V17" s="72">
        <f>((((E17-1)*VLOOKUP(B17,'FTE Allotment Factor'!$B$7:$H$64,7,FALSE))+(K17*N17))*S17)+(T17*E17)</f>
        <v>441694.69264440337</v>
      </c>
      <c r="W17" s="90">
        <f t="shared" si="3"/>
        <v>1377268.8588311234</v>
      </c>
      <c r="X17" s="83"/>
      <c r="Y17" s="90">
        <f>F17*(VLOOKUP(A17, 'OE&amp;E by Cluster'!$B$6:$C$9,2,FALSE))</f>
        <v>1079695.4965057771</v>
      </c>
      <c r="Z17" s="83"/>
      <c r="AA17" s="240">
        <f>'AB1058'!E15</f>
        <v>149757.07</v>
      </c>
      <c r="AB17" s="90">
        <f t="shared" si="4"/>
        <v>3985635.2059582355</v>
      </c>
      <c r="AC17" s="91">
        <f t="shared" si="1"/>
        <v>1.0921204100608785E-3</v>
      </c>
      <c r="AD17" s="55">
        <f t="shared" si="5"/>
        <v>153293.66176762444</v>
      </c>
    </row>
    <row r="18" spans="1:30" ht="20.100000000000001" customHeight="1" x14ac:dyDescent="0.3">
      <c r="A18" s="65">
        <v>2</v>
      </c>
      <c r="B18" s="66" t="s">
        <v>21</v>
      </c>
      <c r="D18" s="67">
        <f>RAS!M18</f>
        <v>78</v>
      </c>
      <c r="E18" s="67">
        <f>RAS!Q18</f>
        <v>16</v>
      </c>
      <c r="F18" s="68">
        <f t="shared" si="0"/>
        <v>94</v>
      </c>
      <c r="H18" s="71">
        <f>(F18-1)*'AVG RAS salary'!$F$66</f>
        <v>7602788.3444541711</v>
      </c>
      <c r="I18" s="71">
        <f>(F18-1)*(VLOOKUP(B18,'FTE Allotment Factor'!$B$6:$D$63,3))</f>
        <v>5651697.4338917434</v>
      </c>
      <c r="J18" s="71">
        <f>(F18-1)*(VLOOKUP(B18,'FTE Allotment Factor'!$B$6:$H$63,7))</f>
        <v>5651697.4338917434</v>
      </c>
      <c r="K18" s="240">
        <f>VLOOKUP(A18,'CEO Salary'!$G$7:$H$13,2)</f>
        <v>223556.37369018179</v>
      </c>
      <c r="L18" s="240">
        <f t="shared" si="6"/>
        <v>166185.47383823729</v>
      </c>
      <c r="N18" s="85">
        <f>VLOOKUP(B18,BLS!$B$5:$I$64,8, FALSE)</f>
        <v>0.74337166547775269</v>
      </c>
      <c r="O18" s="90">
        <f t="shared" si="7"/>
        <v>5817882.9077299805</v>
      </c>
      <c r="Q18" s="87">
        <f>VLOOKUP(B18,'Program 10'!$A$7:$G$64,6)</f>
        <v>0.39218844544029802</v>
      </c>
      <c r="R18" s="8">
        <f>VLOOKUP(B18,'Program 10'!$A$7:$G$64,7)</f>
        <v>22133.453732460257</v>
      </c>
      <c r="S18" s="87">
        <f>VLOOKUP(B18,'Program 90'!$A$7:$G$64,6)</f>
        <v>0.40201292387306103</v>
      </c>
      <c r="T18" s="8">
        <f>VLOOKUP(B18,'Program 90'!$A$7:$G$64,7)</f>
        <v>20403.144615384615</v>
      </c>
      <c r="U18" s="72">
        <f>(D18*VLOOKUP(B18,'FTE Allotment Factor'!$B$7:$H$64,7,FALSE)*Q18)+(D18*R18)</f>
        <v>3585434.9136519013</v>
      </c>
      <c r="V18" s="72">
        <f>((((E18-1)*VLOOKUP(B18,'FTE Allotment Factor'!$B$7:$H$64,7,FALSE))+(K18*N18))*S18)+(T18*E18)</f>
        <v>759719.57212856074</v>
      </c>
      <c r="W18" s="90">
        <f t="shared" si="3"/>
        <v>4345154.4857804617</v>
      </c>
      <c r="Y18" s="90">
        <f>F18*(VLOOKUP(A18, 'OE&amp;E by Cluster'!$B$6:$C$9,2,FALSE))</f>
        <v>2537708.4236944034</v>
      </c>
      <c r="AA18" s="240">
        <f>'AB1058'!E16</f>
        <v>202381.58999999997</v>
      </c>
      <c r="AB18" s="90">
        <f t="shared" si="4"/>
        <v>12498364.227204846</v>
      </c>
      <c r="AC18" s="91">
        <f t="shared" si="1"/>
        <v>3.4247285462803601E-3</v>
      </c>
      <c r="AD18" s="55">
        <f t="shared" si="5"/>
        <v>132961.32156600899</v>
      </c>
    </row>
    <row r="19" spans="1:30" ht="20.100000000000001" customHeight="1" x14ac:dyDescent="0.3">
      <c r="A19" s="65">
        <v>2</v>
      </c>
      <c r="B19" s="66" t="s">
        <v>22</v>
      </c>
      <c r="D19" s="67">
        <f>RAS!M19</f>
        <v>86</v>
      </c>
      <c r="E19" s="67">
        <f>RAS!Q19</f>
        <v>19</v>
      </c>
      <c r="F19" s="68">
        <f t="shared" si="0"/>
        <v>105</v>
      </c>
      <c r="H19" s="71">
        <f>(F19-1)*'AVG RAS salary'!$F$66</f>
        <v>8502042.8798197191</v>
      </c>
      <c r="I19" s="71">
        <f>(F19-1)*(VLOOKUP(B19,'FTE Allotment Factor'!$B$6:$D$63,3))</f>
        <v>5881206.9951800862</v>
      </c>
      <c r="J19" s="71">
        <f>(F19-1)*(VLOOKUP(B19,'FTE Allotment Factor'!$B$6:$H$63,7))</f>
        <v>5881206.9951800862</v>
      </c>
      <c r="K19" s="240">
        <f>VLOOKUP(A19,'CEO Salary'!$G$7:$H$13,2)</f>
        <v>223556.37369018179</v>
      </c>
      <c r="L19" s="240">
        <f t="shared" si="6"/>
        <v>154642.98726186497</v>
      </c>
      <c r="N19" s="85">
        <f>VLOOKUP(B19,BLS!$B$5:$I$64,8, FALSE)</f>
        <v>0.69174045324325562</v>
      </c>
      <c r="O19" s="90">
        <f t="shared" si="7"/>
        <v>6035849.9824419515</v>
      </c>
      <c r="Q19" s="87">
        <f>VLOOKUP(B19,'Program 10'!$A$7:$G$64,6)</f>
        <v>0.22483556327957488</v>
      </c>
      <c r="R19" s="8">
        <f>VLOOKUP(B19,'Program 10'!$A$7:$G$64,7)</f>
        <v>7068.0425883922626</v>
      </c>
      <c r="S19" s="87">
        <f>VLOOKUP(B19,'Program 90'!$A$7:$G$64,6)</f>
        <v>0.22790411855775686</v>
      </c>
      <c r="T19" s="8">
        <f>VLOOKUP(B19,'Program 90'!$A$7:$G$64,7)</f>
        <v>10684.009363449695</v>
      </c>
      <c r="U19" s="72">
        <f>(D19*VLOOKUP(B19,'FTE Allotment Factor'!$B$7:$H$64,7,FALSE)*Q19)+(D19*R19)</f>
        <v>1701295.7580551752</v>
      </c>
      <c r="V19" s="72">
        <f>((((E19-1)*VLOOKUP(B19,'FTE Allotment Factor'!$B$7:$H$64,7,FALSE))+(K19*N19))*S19)+(T19*E19)</f>
        <v>470223.82981302263</v>
      </c>
      <c r="W19" s="90">
        <f t="shared" si="3"/>
        <v>2171519.5878681978</v>
      </c>
      <c r="Y19" s="90">
        <f>F19*(VLOOKUP(A19, 'OE&amp;E by Cluster'!$B$6:$C$9,2,FALSE))</f>
        <v>2834674.3030628972</v>
      </c>
      <c r="AA19" s="240">
        <f>'AB1058'!E17</f>
        <v>328121.77</v>
      </c>
      <c r="AB19" s="90">
        <f t="shared" si="4"/>
        <v>10713922.103373047</v>
      </c>
      <c r="AC19" s="91">
        <f t="shared" si="1"/>
        <v>2.9357661693182797E-3</v>
      </c>
      <c r="AD19" s="55">
        <f t="shared" si="5"/>
        <v>102037.35336545759</v>
      </c>
    </row>
    <row r="20" spans="1:30" ht="20.100000000000001" customHeight="1" x14ac:dyDescent="0.3">
      <c r="A20" s="65">
        <v>1</v>
      </c>
      <c r="B20" s="66" t="s">
        <v>10</v>
      </c>
      <c r="D20" s="67">
        <f>RAS!M20</f>
        <v>17</v>
      </c>
      <c r="E20" s="67">
        <f>RAS!Q20</f>
        <v>6</v>
      </c>
      <c r="F20" s="68">
        <f t="shared" si="0"/>
        <v>23</v>
      </c>
      <c r="H20" s="71">
        <f>(F20-1)*'AVG RAS salary'!$F$66</f>
        <v>1798509.0707310943</v>
      </c>
      <c r="I20" s="71">
        <f>(F20-1)*(VLOOKUP(B20,'FTE Allotment Factor'!$B$6:$D$63,3))</f>
        <v>1481861.0605184985</v>
      </c>
      <c r="J20" s="71">
        <f>(F20-1)*(VLOOKUP(B20,'FTE Allotment Factor'!$B$6:$H$63,7))</f>
        <v>1481861.0605184985</v>
      </c>
      <c r="K20" s="240">
        <f>VLOOKUP(A20,'CEO Salary'!$G$7:$H$13,2)</f>
        <v>159403.30333333334</v>
      </c>
      <c r="L20" s="240">
        <f t="shared" si="6"/>
        <v>131338.53588609616</v>
      </c>
      <c r="N20" s="85">
        <f>VLOOKUP(B20,BLS!$B$5:$I$64,8, FALSE)</f>
        <v>0.82393860816955566</v>
      </c>
      <c r="O20" s="90">
        <f t="shared" si="7"/>
        <v>1613199.5964045946</v>
      </c>
      <c r="Q20" s="87">
        <f>VLOOKUP(B20,'Program 10'!$A$7:$G$64,6)</f>
        <v>0.19949999999999982</v>
      </c>
      <c r="R20" s="8">
        <f>VLOOKUP(B20,'Program 10'!$A$7:$G$64,7)</f>
        <v>15633.627118644075</v>
      </c>
      <c r="S20" s="87">
        <f>VLOOKUP(B20,'Program 90'!$A$7:$G$64,6)</f>
        <v>0.18717890231984144</v>
      </c>
      <c r="T20" s="8">
        <f>VLOOKUP(B20,'Program 90'!$A$7:$G$64,7)</f>
        <v>15617.373702422146</v>
      </c>
      <c r="U20" s="72">
        <f>(D20*VLOOKUP(B20,'FTE Allotment Factor'!$B$7:$H$64,7,FALSE)*Q20)+(D20*R20)</f>
        <v>494214.01496006217</v>
      </c>
      <c r="V20" s="72">
        <f>((((E20-1)*VLOOKUP(B20,'FTE Allotment Factor'!$B$7:$H$64,7,FALSE))+(K20*N20))*S20)+(T20*E20)</f>
        <v>181327.39217088942</v>
      </c>
      <c r="W20" s="90">
        <f t="shared" si="3"/>
        <v>675541.40713095153</v>
      </c>
      <c r="Y20" s="90">
        <f>F20*(VLOOKUP(A20, 'OE&amp;E by Cluster'!$B$6:$C$9,2,FALSE))</f>
        <v>955115.24690895667</v>
      </c>
      <c r="AA20" s="240">
        <f>'AB1058'!E18</f>
        <v>42476.92</v>
      </c>
      <c r="AB20" s="90">
        <f t="shared" si="4"/>
        <v>3201379.3304445031</v>
      </c>
      <c r="AC20" s="91">
        <f t="shared" si="1"/>
        <v>8.7722320946452125E-4</v>
      </c>
      <c r="AD20" s="55">
        <f t="shared" si="5"/>
        <v>139190.40567150014</v>
      </c>
    </row>
    <row r="21" spans="1:30" ht="20.100000000000001" customHeight="1" x14ac:dyDescent="0.3">
      <c r="A21" s="65">
        <v>3</v>
      </c>
      <c r="B21" s="66" t="s">
        <v>43</v>
      </c>
      <c r="D21" s="67">
        <f>RAS!M21</f>
        <v>523</v>
      </c>
      <c r="E21" s="67">
        <f>RAS!Q21</f>
        <v>91</v>
      </c>
      <c r="F21" s="68">
        <f t="shared" si="0"/>
        <v>614</v>
      </c>
      <c r="H21" s="71">
        <f>(F21-1)*'AVG RAS salary'!$F$66</f>
        <v>50113002.743552767</v>
      </c>
      <c r="I21" s="71">
        <f>(F21-1)*(VLOOKUP(B21,'FTE Allotment Factor'!$B$6:$D$63,3))</f>
        <v>46968463.507884383</v>
      </c>
      <c r="J21" s="71">
        <f>(F21-1)*(VLOOKUP(B21,'FTE Allotment Factor'!$B$6:$H$63,7))</f>
        <v>46968463.507884383</v>
      </c>
      <c r="K21" s="240">
        <f>VLOOKUP(A21,'CEO Salary'!$G$7:$H$13,2)</f>
        <v>250146.99852715383</v>
      </c>
      <c r="L21" s="240">
        <f t="shared" si="6"/>
        <v>234450.53237088234</v>
      </c>
      <c r="N21" s="85">
        <f>VLOOKUP(B21,BLS!$B$5:$I$64,8, FALSE)</f>
        <v>0.93725103139877319</v>
      </c>
      <c r="O21" s="90">
        <f t="shared" si="7"/>
        <v>47202914.040255263</v>
      </c>
      <c r="Q21" s="87">
        <f>VLOOKUP(B21,'Program 10'!$A$7:$G$64,6)</f>
        <v>0.53086425608831034</v>
      </c>
      <c r="R21" s="8">
        <f>VLOOKUP(B21,'Program 10'!$A$7:$G$64,7)</f>
        <v>21527.428695106668</v>
      </c>
      <c r="S21" s="87">
        <f>VLOOKUP(B21,'Program 90'!$A$7:$G$64,6)</f>
        <v>0.53106552044911415</v>
      </c>
      <c r="T21" s="8">
        <f>VLOOKUP(B21,'Program 90'!$A$7:$G$64,7)</f>
        <v>20424.845227272719</v>
      </c>
      <c r="U21" s="72">
        <f>(D21*VLOOKUP(B21,'FTE Allotment Factor'!$B$7:$H$64,7,FALSE)*Q21)+(D21*R21)</f>
        <v>32531958.460355874</v>
      </c>
      <c r="V21" s="72">
        <f>((((E21-1)*VLOOKUP(B21,'FTE Allotment Factor'!$B$7:$H$64,7,FALSE))+(K21*N21))*S21)+(T21*E21)</f>
        <v>5645322.5872864909</v>
      </c>
      <c r="W21" s="90">
        <f t="shared" si="3"/>
        <v>38177281.047642365</v>
      </c>
      <c r="Y21" s="90">
        <f>F21*(VLOOKUP(A21, 'OE&amp;E by Cluster'!$B$6:$C$9,2,FALSE))</f>
        <v>16576095.448386846</v>
      </c>
      <c r="AA21" s="240">
        <f>'AB1058'!E19</f>
        <v>1736999.24</v>
      </c>
      <c r="AB21" s="90">
        <f t="shared" si="4"/>
        <v>100219291.29628448</v>
      </c>
      <c r="AC21" s="91">
        <f t="shared" si="1"/>
        <v>2.7461503085602704E-2</v>
      </c>
      <c r="AD21" s="55">
        <f t="shared" si="5"/>
        <v>163223.60145974671</v>
      </c>
    </row>
    <row r="22" spans="1:30" ht="20.100000000000001" customHeight="1" x14ac:dyDescent="0.3">
      <c r="A22" s="65">
        <v>2</v>
      </c>
      <c r="B22" s="66" t="s">
        <v>23</v>
      </c>
      <c r="D22" s="67">
        <f>RAS!M22</f>
        <v>97</v>
      </c>
      <c r="E22" s="67">
        <f>RAS!Q22</f>
        <v>21</v>
      </c>
      <c r="F22" s="68">
        <f t="shared" si="0"/>
        <v>118</v>
      </c>
      <c r="H22" s="71">
        <f>(F22-1)*'AVG RAS salary'!$F$66</f>
        <v>9564798.2397971824</v>
      </c>
      <c r="I22" s="71">
        <f>(F22-1)*(VLOOKUP(B22,'FTE Allotment Factor'!$B$6:$D$63,3))</f>
        <v>7836911.7768492978</v>
      </c>
      <c r="J22" s="71">
        <f>(F22-1)*(VLOOKUP(B22,'FTE Allotment Factor'!$B$6:$H$63,7))</f>
        <v>7836911.7768492978</v>
      </c>
      <c r="K22" s="240">
        <f>VLOOKUP(A22,'CEO Salary'!$G$7:$H$13,2)</f>
        <v>223556.37369018179</v>
      </c>
      <c r="L22" s="240">
        <f t="shared" si="6"/>
        <v>183170.78247114792</v>
      </c>
      <c r="N22" s="85">
        <f>VLOOKUP(B22,BLS!$B$5:$I$64,8, FALSE)</f>
        <v>0.81934940814971924</v>
      </c>
      <c r="O22" s="90">
        <f t="shared" si="7"/>
        <v>8020082.5593204461</v>
      </c>
      <c r="Q22" s="87">
        <f>VLOOKUP(B22,'Program 10'!$A$7:$G$64,6)</f>
        <v>0.1647000000000001</v>
      </c>
      <c r="R22" s="8">
        <f>VLOOKUP(B22,'Program 10'!$A$7:$G$64,7)</f>
        <v>17598.048761904756</v>
      </c>
      <c r="S22" s="87">
        <f>VLOOKUP(B22,'Program 90'!$A$7:$G$64,6)</f>
        <v>0.16469999999999999</v>
      </c>
      <c r="T22" s="8">
        <f>VLOOKUP(B22,'Program 90'!$A$7:$G$64,7)</f>
        <v>19843.889999999992</v>
      </c>
      <c r="U22" s="72">
        <f>(D22*VLOOKUP(B22,'FTE Allotment Factor'!$B$7:$H$64,7,FALSE)*Q22)+(D22*R22)</f>
        <v>2777110.8910651607</v>
      </c>
      <c r="V22" s="72">
        <f>((((E22-1)*VLOOKUP(B22,'FTE Allotment Factor'!$B$7:$H$64,7,FALSE))+(K22*N22))*S22)+(T22*E22)</f>
        <v>667529.12635967811</v>
      </c>
      <c r="W22" s="90">
        <f t="shared" si="3"/>
        <v>3444640.0174248386</v>
      </c>
      <c r="Y22" s="90">
        <f>F22*(VLOOKUP(A22, 'OE&amp;E by Cluster'!$B$6:$C$9,2,FALSE))</f>
        <v>3185633.9786802083</v>
      </c>
      <c r="AA22" s="240">
        <f>'AB1058'!E20</f>
        <v>377507.50000000006</v>
      </c>
      <c r="AB22" s="90">
        <f t="shared" si="4"/>
        <v>14272849.055425493</v>
      </c>
      <c r="AC22" s="91">
        <f t="shared" si="1"/>
        <v>3.9109624834319703E-3</v>
      </c>
      <c r="AD22" s="55">
        <f t="shared" si="5"/>
        <v>120956.34792733469</v>
      </c>
    </row>
    <row r="23" spans="1:30" ht="20.100000000000001" customHeight="1" x14ac:dyDescent="0.3">
      <c r="A23" s="65">
        <v>2</v>
      </c>
      <c r="B23" s="66" t="s">
        <v>24</v>
      </c>
      <c r="D23" s="67">
        <f>RAS!M23</f>
        <v>55</v>
      </c>
      <c r="E23" s="67">
        <f>RAS!Q23</f>
        <v>12</v>
      </c>
      <c r="F23" s="68">
        <f t="shared" si="0"/>
        <v>67</v>
      </c>
      <c r="H23" s="71">
        <f>(F23-1)*'AVG RAS salary'!$F$66</f>
        <v>5395527.2121932833</v>
      </c>
      <c r="I23" s="71">
        <f>(F23-1)*(VLOOKUP(B23,'FTE Allotment Factor'!$B$6:$D$63,3))</f>
        <v>4171508.5929027284</v>
      </c>
      <c r="J23" s="71">
        <f>(F23-1)*(VLOOKUP(B23,'FTE Allotment Factor'!$B$6:$H$63,7))</f>
        <v>4171508.5929027284</v>
      </c>
      <c r="K23" s="240">
        <f>VLOOKUP(A23,'CEO Salary'!$G$7:$H$13,2)</f>
        <v>223556.37369018179</v>
      </c>
      <c r="L23" s="240">
        <f t="shared" si="6"/>
        <v>172840.81743472072</v>
      </c>
      <c r="N23" s="85">
        <f>VLOOKUP(B23,BLS!$B$5:$I$64,8, FALSE)</f>
        <v>0.77314198017120361</v>
      </c>
      <c r="O23" s="90">
        <f t="shared" si="7"/>
        <v>4344349.4103374491</v>
      </c>
      <c r="Q23" s="87">
        <f>VLOOKUP(B23,'Program 10'!$A$7:$G$64,6)</f>
        <v>0.32130000000000003</v>
      </c>
      <c r="R23" s="8">
        <f>VLOOKUP(B23,'Program 10'!$A$7:$G$64,7)</f>
        <v>15979.48</v>
      </c>
      <c r="S23" s="87">
        <f>VLOOKUP(B23,'Program 90'!$A$7:$G$64,6)</f>
        <v>0.32130000000000003</v>
      </c>
      <c r="T23" s="8">
        <f>VLOOKUP(B23,'Program 90'!$A$7:$G$64,7)</f>
        <v>15979.479999999998</v>
      </c>
      <c r="U23" s="72">
        <f>(D23*VLOOKUP(B23,'FTE Allotment Factor'!$B$7:$H$64,7,FALSE)*Q23)+(D23*R23)</f>
        <v>1995792.8257497055</v>
      </c>
      <c r="V23" s="72">
        <f>((((E23-1)*VLOOKUP(B23,'FTE Allotment Factor'!$B$7:$H$64,7,FALSE))+(K23*N23))*S23)+(T23*E23)</f>
        <v>470671.79979171685</v>
      </c>
      <c r="W23" s="90">
        <f t="shared" si="3"/>
        <v>2466464.6255414225</v>
      </c>
      <c r="Y23" s="90">
        <f>F23*(VLOOKUP(A23, 'OE&amp;E by Cluster'!$B$6:$C$9,2,FALSE))</f>
        <v>1808792.1743353724</v>
      </c>
      <c r="AA23" s="240">
        <f>'AB1058'!E21</f>
        <v>173843.39</v>
      </c>
      <c r="AB23" s="90">
        <f t="shared" si="4"/>
        <v>8445762.8202142436</v>
      </c>
      <c r="AC23" s="91">
        <f t="shared" si="1"/>
        <v>2.3142584501211765E-3</v>
      </c>
      <c r="AD23" s="55">
        <f t="shared" si="5"/>
        <v>126056.16149573498</v>
      </c>
    </row>
    <row r="24" spans="1:30" ht="20.100000000000001" customHeight="1" x14ac:dyDescent="0.3">
      <c r="A24" s="65">
        <v>1</v>
      </c>
      <c r="B24" s="66" t="s">
        <v>11</v>
      </c>
      <c r="D24" s="67">
        <f>RAS!M24</f>
        <v>20</v>
      </c>
      <c r="E24" s="67">
        <f>RAS!Q24</f>
        <v>7</v>
      </c>
      <c r="F24" s="68">
        <f t="shared" si="0"/>
        <v>27</v>
      </c>
      <c r="H24" s="71">
        <f>(F24-1)*'AVG RAS salary'!$F$66</f>
        <v>2125510.7199549298</v>
      </c>
      <c r="I24" s="71">
        <f>(F24-1)*(VLOOKUP(B24,'FTE Allotment Factor'!$B$6:$D$63,3))</f>
        <v>1655834.515580314</v>
      </c>
      <c r="J24" s="71">
        <f>(F24-1)*(VLOOKUP(B24,'FTE Allotment Factor'!$B$6:$H$63,7))</f>
        <v>1655834.515580314</v>
      </c>
      <c r="K24" s="240">
        <f>VLOOKUP(A24,'CEO Salary'!$G$7:$H$13,2)</f>
        <v>159403.30333333334</v>
      </c>
      <c r="L24" s="240">
        <f t="shared" si="6"/>
        <v>124179.79786168695</v>
      </c>
      <c r="N24" s="85">
        <f>VLOOKUP(B24,BLS!$B$5:$I$64,8, FALSE)</f>
        <v>0.77902901172637939</v>
      </c>
      <c r="O24" s="90">
        <f t="shared" si="7"/>
        <v>1780014.3134420009</v>
      </c>
      <c r="Q24" s="87">
        <f>VLOOKUP(B24,'Program 10'!$A$7:$G$64,6)</f>
        <v>0.17100671460130193</v>
      </c>
      <c r="R24" s="8">
        <f>VLOOKUP(B24,'Program 10'!$A$7:$G$64,7)</f>
        <v>17886.156296296282</v>
      </c>
      <c r="S24" s="87">
        <f>VLOOKUP(B24,'Program 90'!$A$7:$G$64,6)</f>
        <v>0.17929999999999999</v>
      </c>
      <c r="T24" s="8">
        <f>VLOOKUP(B24,'Program 90'!$A$7:$G$64,7)</f>
        <v>20893.570000000003</v>
      </c>
      <c r="U24" s="72">
        <f>(D24*VLOOKUP(B24,'FTE Allotment Factor'!$B$7:$H$64,7,FALSE)*Q24)+(D24*R24)</f>
        <v>575537.60318194702</v>
      </c>
      <c r="V24" s="72">
        <f>((((E24-1)*VLOOKUP(B24,'FTE Allotment Factor'!$B$7:$H$64,7,FALSE))+(K24*N24))*S24)+(T24*E24)</f>
        <v>237033.76513588132</v>
      </c>
      <c r="W24" s="90">
        <f t="shared" si="3"/>
        <v>812571.36831782828</v>
      </c>
      <c r="Y24" s="90">
        <f>F24*(VLOOKUP(A24, 'OE&amp;E by Cluster'!$B$6:$C$9,2,FALSE))</f>
        <v>1121222.246371384</v>
      </c>
      <c r="AA24" s="240">
        <f>'AB1058'!E22</f>
        <v>96898.690000000017</v>
      </c>
      <c r="AB24" s="90">
        <f t="shared" si="4"/>
        <v>3616909.2381312135</v>
      </c>
      <c r="AC24" s="91">
        <f t="shared" si="1"/>
        <v>9.9108428046694474E-4</v>
      </c>
      <c r="AD24" s="55">
        <f t="shared" si="5"/>
        <v>133959.60141226716</v>
      </c>
    </row>
    <row r="25" spans="1:30" ht="20.100000000000001" customHeight="1" x14ac:dyDescent="0.3">
      <c r="A25" s="65">
        <v>4</v>
      </c>
      <c r="B25" s="66" t="s">
        <v>54</v>
      </c>
      <c r="D25" s="67">
        <f>RAS!M25</f>
        <v>4220</v>
      </c>
      <c r="E25" s="67">
        <f>RAS!Q25</f>
        <v>739</v>
      </c>
      <c r="F25" s="68">
        <f t="shared" si="0"/>
        <v>4959</v>
      </c>
      <c r="H25" s="71">
        <f>(F25-1)*'AVG RAS salary'!$F$66</f>
        <v>405318544.21294391</v>
      </c>
      <c r="I25" s="71">
        <f>(F25-1)*(VLOOKUP(B25,'FTE Allotment Factor'!$B$6:$D$63,3))</f>
        <v>553204637.86192083</v>
      </c>
      <c r="J25" s="71">
        <f>(F25-1)*(VLOOKUP(B25,'FTE Allotment Factor'!$B$6:$H$63,7))</f>
        <v>553204637.86192083</v>
      </c>
      <c r="K25" s="240">
        <f>VLOOKUP(A25,'CEO Salary'!$G$7:$H$13,2)</f>
        <v>337996.00194199994</v>
      </c>
      <c r="L25" s="240">
        <f t="shared" si="6"/>
        <v>461318.53210956522</v>
      </c>
      <c r="N25" s="85">
        <f>VLOOKUP(B25,BLS!$B$5:$I$64,8, FALSE)</f>
        <v>1.3648638725280762</v>
      </c>
      <c r="O25" s="90">
        <f t="shared" si="7"/>
        <v>553665956.39403045</v>
      </c>
      <c r="Q25" s="87">
        <f>VLOOKUP(B25,'Program 10'!$A$7:$G$64,6)</f>
        <v>0.32050050610688025</v>
      </c>
      <c r="R25" s="8">
        <f>VLOOKUP(B25,'Program 10'!$A$7:$G$64,7)</f>
        <v>29486.553516438813</v>
      </c>
      <c r="S25" s="87">
        <f>VLOOKUP(B25,'Program 90'!$A$7:$G$64,6)</f>
        <v>0.4258056956636071</v>
      </c>
      <c r="T25" s="8">
        <f>VLOOKUP(B25,'Program 90'!$A$7:$G$64,7)</f>
        <v>24860.451097936304</v>
      </c>
      <c r="U25" s="72">
        <f>(D25*VLOOKUP(B25,'FTE Allotment Factor'!$B$7:$H$64,7,FALSE)*Q25)+(D25*R25)</f>
        <v>275344104.22038597</v>
      </c>
      <c r="V25" s="72">
        <f>((((E25-1)*VLOOKUP(B25,'FTE Allotment Factor'!$B$7:$H$64,7,FALSE))+(K25*N25))*S25)+(T25*E25)</f>
        <v>53631147.699777082</v>
      </c>
      <c r="W25" s="90">
        <f t="shared" si="3"/>
        <v>328975251.92016304</v>
      </c>
      <c r="Y25" s="90">
        <f>F25*(VLOOKUP(A25, 'OE&amp;E by Cluster'!$B$6:$C$9,2,FALSE))</f>
        <v>133877617.79894197</v>
      </c>
      <c r="AA25" s="240">
        <f>'AB1058'!E23</f>
        <v>10672657.009999998</v>
      </c>
      <c r="AB25" s="90">
        <f t="shared" si="4"/>
        <v>1005846169.1031355</v>
      </c>
      <c r="AC25" s="91">
        <f t="shared" si="1"/>
        <v>0.27561607470169236</v>
      </c>
      <c r="AD25" s="55">
        <f t="shared" si="5"/>
        <v>202832.45999256615</v>
      </c>
    </row>
    <row r="26" spans="1:30" ht="20.100000000000001" customHeight="1" x14ac:dyDescent="0.3">
      <c r="A26" s="65">
        <v>2</v>
      </c>
      <c r="B26" s="66" t="s">
        <v>25</v>
      </c>
      <c r="D26" s="67">
        <f>RAS!M26</f>
        <v>110</v>
      </c>
      <c r="E26" s="67">
        <f>RAS!Q26</f>
        <v>23</v>
      </c>
      <c r="F26" s="68">
        <f t="shared" si="0"/>
        <v>133</v>
      </c>
      <c r="H26" s="71">
        <f>(F26-1)*'AVG RAS salary'!$F$66</f>
        <v>10791054.424386567</v>
      </c>
      <c r="I26" s="71">
        <f>(F26-1)*(VLOOKUP(B26,'FTE Allotment Factor'!$B$6:$D$63,3))</f>
        <v>9495565.044659419</v>
      </c>
      <c r="J26" s="71">
        <f>(F26-1)*(VLOOKUP(B26,'FTE Allotment Factor'!$B$6:$H$63,7))</f>
        <v>9495565.044659419</v>
      </c>
      <c r="K26" s="240">
        <f>VLOOKUP(A26,'CEO Salary'!$G$7:$H$13,2)</f>
        <v>223556.37369018179</v>
      </c>
      <c r="L26" s="240">
        <f t="shared" si="6"/>
        <v>196717.94840789918</v>
      </c>
      <c r="N26" s="85">
        <f>VLOOKUP(B26,BLS!$B$5:$I$64,8, FALSE)</f>
        <v>0.87994784116744995</v>
      </c>
      <c r="O26" s="90">
        <f t="shared" si="7"/>
        <v>9692282.9930673186</v>
      </c>
      <c r="Q26" s="87">
        <f>VLOOKUP(B26,'Program 10'!$A$7:$G$64,6)</f>
        <v>0.39122153349882316</v>
      </c>
      <c r="R26" s="8">
        <f>VLOOKUP(B26,'Program 10'!$A$7:$G$64,7)</f>
        <v>13069.999999999996</v>
      </c>
      <c r="S26" s="87">
        <f>VLOOKUP(B26,'Program 90'!$A$7:$G$64,6)</f>
        <v>0.39632999999999996</v>
      </c>
      <c r="T26" s="8">
        <f>VLOOKUP(B26,'Program 90'!$A$7:$G$64,7)</f>
        <v>13070</v>
      </c>
      <c r="U26" s="72">
        <f>(D26*VLOOKUP(B26,'FTE Allotment Factor'!$B$7:$H$64,7,FALSE)*Q26)+(D26*R26)</f>
        <v>4533424.5985078979</v>
      </c>
      <c r="V26" s="72">
        <f>((((E26-1)*VLOOKUP(B26,'FTE Allotment Factor'!$B$7:$H$64,7,FALSE))+(K26*N26))*S26)+(T26*E26)</f>
        <v>1005804.7735174805</v>
      </c>
      <c r="W26" s="90">
        <f t="shared" si="3"/>
        <v>5539229.372025378</v>
      </c>
      <c r="Y26" s="90">
        <f>F26*(VLOOKUP(A26, 'OE&amp;E by Cluster'!$B$6:$C$9,2,FALSE))</f>
        <v>3590587.4505463364</v>
      </c>
      <c r="AA26" s="240">
        <f>'AB1058'!E24</f>
        <v>374488.51999999996</v>
      </c>
      <c r="AB26" s="90">
        <f t="shared" si="4"/>
        <v>18447611.295639034</v>
      </c>
      <c r="AC26" s="91">
        <f t="shared" si="1"/>
        <v>5.054906375455203E-3</v>
      </c>
      <c r="AD26" s="55">
        <f t="shared" si="5"/>
        <v>138703.84432811305</v>
      </c>
    </row>
    <row r="27" spans="1:30" ht="20.100000000000001" customHeight="1" x14ac:dyDescent="0.3">
      <c r="A27" s="65">
        <v>2</v>
      </c>
      <c r="B27" s="66" t="s">
        <v>26</v>
      </c>
      <c r="D27" s="67">
        <f>RAS!M27</f>
        <v>87</v>
      </c>
      <c r="E27" s="67">
        <f>RAS!Q27</f>
        <v>19</v>
      </c>
      <c r="F27" s="68">
        <f t="shared" si="0"/>
        <v>106</v>
      </c>
      <c r="H27" s="71">
        <f>(F27-1)*'AVG RAS salary'!$F$66</f>
        <v>8583793.2921256777</v>
      </c>
      <c r="I27" s="71">
        <f>(F27-1)*(VLOOKUP(B27,'FTE Allotment Factor'!$B$6:$D$63,3))</f>
        <v>10219049.071622569</v>
      </c>
      <c r="J27" s="71">
        <f>(F27-1)*(VLOOKUP(B27,'FTE Allotment Factor'!$B$6:$H$63,7))</f>
        <v>10219049.071622569</v>
      </c>
      <c r="K27" s="240">
        <f>VLOOKUP(A27,'CEO Salary'!$G$7:$H$13,2)</f>
        <v>223556.37369018179</v>
      </c>
      <c r="L27" s="240">
        <f t="shared" si="6"/>
        <v>266144.98686841305</v>
      </c>
      <c r="N27" s="85">
        <f>VLOOKUP(B27,BLS!$B$5:$I$64,8, FALSE)</f>
        <v>1.1905050277709961</v>
      </c>
      <c r="O27" s="90">
        <f t="shared" si="7"/>
        <v>10485194.058490982</v>
      </c>
      <c r="Q27" s="87">
        <f>VLOOKUP(B27,'Program 10'!$A$7:$G$64,6)</f>
        <v>0.22110110739072283</v>
      </c>
      <c r="R27" s="8">
        <f>VLOOKUP(B27,'Program 10'!$A$7:$G$64,7)</f>
        <v>24419.449999999979</v>
      </c>
      <c r="S27" s="87">
        <f>VLOOKUP(B27,'Program 90'!$A$7:$G$64,6)</f>
        <v>0.2398084517794685</v>
      </c>
      <c r="T27" s="8">
        <f>VLOOKUP(B27,'Program 90'!$A$7:$G$64,7)</f>
        <v>24419.450000000004</v>
      </c>
      <c r="U27" s="72">
        <f>(D27*VLOOKUP(B27,'FTE Allotment Factor'!$B$7:$H$64,7,FALSE)*Q27)+(D27*R27)</f>
        <v>3996602.1191503052</v>
      </c>
      <c r="V27" s="72">
        <f>((((E27-1)*VLOOKUP(B27,'FTE Allotment Factor'!$B$7:$H$64,7,FALSE))+(K27*N27))*S27)+(T27*E27)</f>
        <v>947898.6820825052</v>
      </c>
      <c r="W27" s="90">
        <f t="shared" si="3"/>
        <v>4944500.8012328101</v>
      </c>
      <c r="Y27" s="90">
        <f>F27*(VLOOKUP(A27, 'OE&amp;E by Cluster'!$B$6:$C$9,2,FALSE))</f>
        <v>2861671.2011873056</v>
      </c>
      <c r="AA27" s="240">
        <f>'AB1058'!E25</f>
        <v>266631</v>
      </c>
      <c r="AB27" s="90">
        <f t="shared" si="4"/>
        <v>18024735.060911097</v>
      </c>
      <c r="AC27" s="91">
        <f t="shared" si="1"/>
        <v>4.9390323069539842E-3</v>
      </c>
      <c r="AD27" s="55">
        <f t="shared" si="5"/>
        <v>170044.67038595374</v>
      </c>
    </row>
    <row r="28" spans="1:30" ht="20.100000000000001" customHeight="1" x14ac:dyDescent="0.3">
      <c r="A28" s="65">
        <v>1</v>
      </c>
      <c r="B28" s="66" t="s">
        <v>12</v>
      </c>
      <c r="D28" s="67">
        <f>RAS!M28</f>
        <v>11</v>
      </c>
      <c r="E28" s="67">
        <f>RAS!Q28</f>
        <v>4</v>
      </c>
      <c r="F28" s="68">
        <f t="shared" si="0"/>
        <v>15</v>
      </c>
      <c r="H28" s="71">
        <f>(F28-1)*'AVG RAS salary'!$F$66</f>
        <v>1144505.7722834237</v>
      </c>
      <c r="I28" s="71">
        <f>(F28-1)*(VLOOKUP(B28,'FTE Allotment Factor'!$B$6:$D$63,3))</f>
        <v>947672.07379210973</v>
      </c>
      <c r="J28" s="71">
        <f>(F28-1)*(VLOOKUP(B28,'FTE Allotment Factor'!$B$6:$H$63,7))</f>
        <v>947672.07379210973</v>
      </c>
      <c r="K28" s="240">
        <f>VLOOKUP(A28,'CEO Salary'!$G$7:$H$13,2)</f>
        <v>159403.30333333334</v>
      </c>
      <c r="L28" s="240">
        <f t="shared" si="6"/>
        <v>131988.90097148757</v>
      </c>
      <c r="N28" s="85">
        <f>VLOOKUP(B28,BLS!$B$5:$I$64,8, FALSE)</f>
        <v>0.82801860570907593</v>
      </c>
      <c r="O28" s="90">
        <f t="shared" si="7"/>
        <v>1079660.9747635974</v>
      </c>
      <c r="Q28" s="87">
        <f>VLOOKUP(B28,'Program 10'!$A$7:$G$64,6)</f>
        <v>0.31378768566612814</v>
      </c>
      <c r="R28" s="8">
        <f>VLOOKUP(B28,'Program 10'!$A$7:$G$64,7)</f>
        <v>16871.890243902442</v>
      </c>
      <c r="S28" s="87">
        <f>VLOOKUP(B28,'Program 90'!$A$7:$G$64,6)</f>
        <v>0.28710311947866507</v>
      </c>
      <c r="T28" s="8">
        <f>VLOOKUP(B28,'Program 90'!$A$7:$G$64,7)</f>
        <v>14812.62138728324</v>
      </c>
      <c r="U28" s="72">
        <f>(D28*VLOOKUP(B28,'FTE Allotment Factor'!$B$7:$H$64,7,FALSE)*Q28)+(D28*R28)</f>
        <v>419236.94231593469</v>
      </c>
      <c r="V28" s="72">
        <f>((((E28-1)*VLOOKUP(B28,'FTE Allotment Factor'!$B$7:$H$64,7,FALSE))+(K28*N28))*S28)+(T28*E28)</f>
        <v>155447.68403214985</v>
      </c>
      <c r="W28" s="90">
        <f t="shared" si="3"/>
        <v>574684.62634808454</v>
      </c>
      <c r="Y28" s="90">
        <f>F28*(VLOOKUP(A28, 'OE&amp;E by Cluster'!$B$6:$C$9,2,FALSE))</f>
        <v>622901.24798410223</v>
      </c>
      <c r="AA28" s="240">
        <f>'AB1058'!E26</f>
        <v>22846.18</v>
      </c>
      <c r="AB28" s="90">
        <f t="shared" si="4"/>
        <v>2254400.669095784</v>
      </c>
      <c r="AC28" s="91">
        <f t="shared" si="1"/>
        <v>6.1773766437374399E-4</v>
      </c>
      <c r="AD28" s="55">
        <f t="shared" si="5"/>
        <v>150293.37793971892</v>
      </c>
    </row>
    <row r="29" spans="1:30" ht="20.100000000000001" customHeight="1" x14ac:dyDescent="0.3">
      <c r="A29" s="65">
        <v>2</v>
      </c>
      <c r="B29" s="66" t="s">
        <v>27</v>
      </c>
      <c r="D29" s="67">
        <f>RAS!M29</f>
        <v>58</v>
      </c>
      <c r="E29" s="67">
        <f>RAS!Q29</f>
        <v>13</v>
      </c>
      <c r="F29" s="68">
        <f t="shared" si="0"/>
        <v>71</v>
      </c>
      <c r="H29" s="71">
        <f>(F29-1)*'AVG RAS salary'!$F$66</f>
        <v>5722528.8614171185</v>
      </c>
      <c r="I29" s="71">
        <f>(F29-1)*(VLOOKUP(B29,'FTE Allotment Factor'!$B$6:$D$63,3))</f>
        <v>4443102.2149321865</v>
      </c>
      <c r="J29" s="71">
        <f>(F29-1)*(VLOOKUP(B29,'FTE Allotment Factor'!$B$6:$H$63,7))</f>
        <v>4443102.2149321865</v>
      </c>
      <c r="K29" s="240">
        <f>VLOOKUP(A29,'CEO Salary'!$G$7:$H$13,2)</f>
        <v>223556.37369018179</v>
      </c>
      <c r="L29" s="240">
        <f t="shared" si="6"/>
        <v>173574.27863790261</v>
      </c>
      <c r="N29" s="85">
        <f>VLOOKUP(B29,BLS!$B$5:$I$64,8, FALSE)</f>
        <v>0.77642285823822021</v>
      </c>
      <c r="O29" s="90">
        <f t="shared" si="7"/>
        <v>4616676.4935700893</v>
      </c>
      <c r="Q29" s="87">
        <f>VLOOKUP(B29,'Program 10'!$A$7:$G$64,6)</f>
        <v>0.45657798414178707</v>
      </c>
      <c r="R29" s="8">
        <f>VLOOKUP(B29,'Program 10'!$A$7:$G$64,7)</f>
        <v>19833.876433566456</v>
      </c>
      <c r="S29" s="87">
        <f>VLOOKUP(B29,'Program 90'!$A$7:$G$64,6)</f>
        <v>0.51825539401775955</v>
      </c>
      <c r="T29" s="8">
        <f>VLOOKUP(B29,'Program 90'!$A$7:$G$64,7)</f>
        <v>14069.84846153846</v>
      </c>
      <c r="U29" s="72">
        <f>(D29*VLOOKUP(B29,'FTE Allotment Factor'!$B$7:$H$64,7,FALSE)*Q29)+(D29*R29)</f>
        <v>2831223.6024685623</v>
      </c>
      <c r="V29" s="72">
        <f>((((E29-1)*VLOOKUP(B29,'FTE Allotment Factor'!$B$7:$H$64,7,FALSE))+(K29*N29))*S29)+(T29*E29)</f>
        <v>667605.84000583924</v>
      </c>
      <c r="W29" s="90">
        <f t="shared" si="3"/>
        <v>3498829.4424744016</v>
      </c>
      <c r="Y29" s="90">
        <f>F29*(VLOOKUP(A29, 'OE&amp;E by Cluster'!$B$6:$C$9,2,FALSE))</f>
        <v>1916779.7668330066</v>
      </c>
      <c r="AA29" s="240">
        <f>'AB1058'!E27</f>
        <v>226823.18</v>
      </c>
      <c r="AB29" s="90">
        <f t="shared" si="4"/>
        <v>9805462.5228774976</v>
      </c>
      <c r="AC29" s="91">
        <f t="shared" si="1"/>
        <v>2.6868353971062761E-3</v>
      </c>
      <c r="AD29" s="55">
        <f t="shared" si="5"/>
        <v>138105.10595602109</v>
      </c>
    </row>
    <row r="30" spans="1:30" ht="20.100000000000001" customHeight="1" x14ac:dyDescent="0.3">
      <c r="A30" s="65">
        <v>2</v>
      </c>
      <c r="B30" s="66" t="s">
        <v>28</v>
      </c>
      <c r="D30" s="67">
        <f>RAS!M30</f>
        <v>143</v>
      </c>
      <c r="E30" s="67">
        <f>RAS!Q30</f>
        <v>31</v>
      </c>
      <c r="F30" s="68">
        <f t="shared" si="0"/>
        <v>174</v>
      </c>
      <c r="H30" s="71">
        <f>(F30-1)*'AVG RAS salary'!$F$66</f>
        <v>14142821.328930877</v>
      </c>
      <c r="I30" s="71">
        <f>(F30-1)*(VLOOKUP(B30,'FTE Allotment Factor'!$B$6:$D$63,3))</f>
        <v>11096644.18793009</v>
      </c>
      <c r="J30" s="71">
        <f>(F30-1)*(VLOOKUP(B30,'FTE Allotment Factor'!$B$6:$H$63,7))</f>
        <v>11096644.18793009</v>
      </c>
      <c r="K30" s="240">
        <f>VLOOKUP(A30,'CEO Salary'!$G$7:$H$13,2)</f>
        <v>223556.37369018179</v>
      </c>
      <c r="L30" s="240">
        <f t="shared" si="6"/>
        <v>175405.27997120735</v>
      </c>
      <c r="N30" s="85">
        <f>VLOOKUP(B30,BLS!$B$5:$I$64,8, FALSE)</f>
        <v>0.78461319208145142</v>
      </c>
      <c r="O30" s="90">
        <f t="shared" si="7"/>
        <v>11272049.467901297</v>
      </c>
      <c r="Q30" s="87">
        <f>VLOOKUP(B30,'Program 10'!$A$7:$G$64,6)</f>
        <v>0.49099678766786031</v>
      </c>
      <c r="R30" s="8">
        <f>VLOOKUP(B30,'Program 10'!$A$7:$G$64,7)</f>
        <v>20353.92839613527</v>
      </c>
      <c r="S30" s="87">
        <f>VLOOKUP(B30,'Program 90'!$A$7:$G$64,6)</f>
        <v>0.51442601767261775</v>
      </c>
      <c r="T30" s="8">
        <f>VLOOKUP(B30,'Program 90'!$A$7:$G$64,7)</f>
        <v>21130.813999999998</v>
      </c>
      <c r="U30" s="72">
        <f>(D30*VLOOKUP(B30,'FTE Allotment Factor'!$B$7:$H$64,7,FALSE)*Q30)+(D30*R30)</f>
        <v>7414216.2749471571</v>
      </c>
      <c r="V30" s="72">
        <f>((((E30-1)*VLOOKUP(B30,'FTE Allotment Factor'!$B$7:$H$64,7,FALSE))+(K30*N30))*S30)+(T30*E30)</f>
        <v>1735184.657317959</v>
      </c>
      <c r="W30" s="90">
        <f t="shared" si="3"/>
        <v>9149400.9322651159</v>
      </c>
      <c r="Y30" s="90">
        <f>F30*(VLOOKUP(A30, 'OE&amp;E by Cluster'!$B$6:$C$9,2,FALSE))</f>
        <v>4697460.2736470867</v>
      </c>
      <c r="AA30" s="240">
        <f>'AB1058'!E28</f>
        <v>812144.61999999988</v>
      </c>
      <c r="AB30" s="90">
        <f t="shared" si="4"/>
        <v>24306766.053813498</v>
      </c>
      <c r="AC30" s="91">
        <f t="shared" si="1"/>
        <v>6.6603976375611152E-3</v>
      </c>
      <c r="AD30" s="55">
        <f t="shared" si="5"/>
        <v>139694.05778053735</v>
      </c>
    </row>
    <row r="31" spans="1:30" ht="20.100000000000001" customHeight="1" x14ac:dyDescent="0.3">
      <c r="A31" s="65">
        <v>1</v>
      </c>
      <c r="B31" s="66" t="s">
        <v>13</v>
      </c>
      <c r="D31" s="67">
        <f>RAS!M31</f>
        <v>9</v>
      </c>
      <c r="E31" s="67">
        <f>RAS!Q31</f>
        <v>4</v>
      </c>
      <c r="F31" s="68">
        <f t="shared" si="0"/>
        <v>13</v>
      </c>
      <c r="H31" s="71">
        <f>(F31-1)*'AVG RAS salary'!$F$66</f>
        <v>981004.94767150597</v>
      </c>
      <c r="I31" s="71">
        <f>(F31-1)*(VLOOKUP(B31,'FTE Allotment Factor'!$B$6:$D$63,3))</f>
        <v>556823.97478216689</v>
      </c>
      <c r="J31" s="71">
        <f>(F31-1)*(VLOOKUP(B31,'FTE Allotment Factor'!$B$6:$H$63,7))</f>
        <v>747772.60619992903</v>
      </c>
      <c r="K31" s="240">
        <f>VLOOKUP(A31,'CEO Salary'!$G$7:$H$13,2)</f>
        <v>159403.30333333334</v>
      </c>
      <c r="L31" s="240">
        <f t="shared" si="6"/>
        <v>90478.219468874348</v>
      </c>
      <c r="N31" s="85">
        <f>VLOOKUP(B31,BLS!$B$5:$I$64,8, FALSE)</f>
        <v>0.56760567426681519</v>
      </c>
      <c r="O31" s="90">
        <f t="shared" si="7"/>
        <v>838250.82566880342</v>
      </c>
      <c r="Q31" s="87">
        <f>VLOOKUP(B31,'Program 10'!$A$7:$G$64,6)</f>
        <v>0.37603360738194669</v>
      </c>
      <c r="R31" s="8">
        <f>VLOOKUP(B31,'Program 10'!$A$7:$G$64,7)</f>
        <v>19605.106111111116</v>
      </c>
      <c r="S31" s="87">
        <f>VLOOKUP(B31,'Program 90'!$A$7:$G$64,6)</f>
        <v>0.39490000000000008</v>
      </c>
      <c r="T31" s="8">
        <f>VLOOKUP(B31,'Program 90'!$A$7:$G$64,7)</f>
        <v>22767.22</v>
      </c>
      <c r="U31" s="72">
        <f>(D31*VLOOKUP(B31,'FTE Allotment Factor'!$B$7:$H$64,7,FALSE)*Q31)+(D31*R31)</f>
        <v>387336.67795806937</v>
      </c>
      <c r="V31" s="72">
        <f>((((E31-1)*VLOOKUP(B31,'FTE Allotment Factor'!$B$7:$H$64,7,FALSE))+(K31*N31))*S31)+(T31*E31)</f>
        <v>200622.5794153465</v>
      </c>
      <c r="W31" s="90">
        <f t="shared" si="3"/>
        <v>587959.25737341587</v>
      </c>
      <c r="Y31" s="90">
        <f>F31*(VLOOKUP(A31, 'OE&amp;E by Cluster'!$B$6:$C$9,2,FALSE))</f>
        <v>539847.74825288856</v>
      </c>
      <c r="AA31" s="240">
        <f>'AB1058'!E29</f>
        <v>71817.999999999985</v>
      </c>
      <c r="AB31" s="90">
        <f t="shared" si="4"/>
        <v>1894239.831295108</v>
      </c>
      <c r="AC31" s="91">
        <f t="shared" si="1"/>
        <v>5.1904850153246577E-4</v>
      </c>
      <c r="AD31" s="55">
        <f t="shared" si="5"/>
        <v>145710.75625346985</v>
      </c>
    </row>
    <row r="32" spans="1:30" ht="20.100000000000001" customHeight="1" x14ac:dyDescent="0.3">
      <c r="A32" s="65">
        <v>1</v>
      </c>
      <c r="B32" s="66" t="s">
        <v>14</v>
      </c>
      <c r="D32" s="67">
        <f>RAS!M32</f>
        <v>9</v>
      </c>
      <c r="E32" s="67">
        <f>RAS!Q32</f>
        <v>4</v>
      </c>
      <c r="F32" s="68">
        <f t="shared" si="0"/>
        <v>13</v>
      </c>
      <c r="H32" s="71">
        <f>(F32-1)*'AVG RAS salary'!$F$66</f>
        <v>981004.94767150597</v>
      </c>
      <c r="I32" s="71">
        <f>(F32-1)*(VLOOKUP(B32,'FTE Allotment Factor'!$B$6:$D$63,3))</f>
        <v>896493.77806215058</v>
      </c>
      <c r="J32" s="71">
        <f>(F32-1)*(VLOOKUP(B32,'FTE Allotment Factor'!$B$6:$H$63,7))</f>
        <v>896493.77806215058</v>
      </c>
      <c r="K32" s="240">
        <f>VLOOKUP(A32,'CEO Salary'!$G$7:$H$13,2)</f>
        <v>159403.30333333334</v>
      </c>
      <c r="L32" s="240">
        <f t="shared" si="6"/>
        <v>145671.09980442128</v>
      </c>
      <c r="N32" s="85">
        <f>VLOOKUP(B32,BLS!$B$5:$I$64,8, FALSE)</f>
        <v>0.91385245323181152</v>
      </c>
      <c r="O32" s="90">
        <f t="shared" si="7"/>
        <v>1042164.8778665719</v>
      </c>
      <c r="Q32" s="87">
        <f>VLOOKUP(B32,'Program 10'!$A$7:$G$64,6)</f>
        <v>0.32520213863152975</v>
      </c>
      <c r="R32" s="8">
        <f>VLOOKUP(B32,'Program 10'!$A$7:$G$64,7)</f>
        <v>26743.569444444442</v>
      </c>
      <c r="S32" s="87">
        <f>VLOOKUP(B32,'Program 90'!$A$7:$G$64,6)</f>
        <v>0.31321247084867948</v>
      </c>
      <c r="T32" s="8">
        <f>VLOOKUP(B32,'Program 90'!$A$7:$G$64,7)</f>
        <v>29505.720188902011</v>
      </c>
      <c r="U32" s="72">
        <f>(D32*VLOOKUP(B32,'FTE Allotment Factor'!$B$7:$H$64,7,FALSE)*Q32)+(D32*R32)</f>
        <v>459348.39542175352</v>
      </c>
      <c r="V32" s="72">
        <f>((((E32-1)*VLOOKUP(B32,'FTE Allotment Factor'!$B$7:$H$64,7,FALSE))+(K32*N32))*S32)+(T32*E32)</f>
        <v>233847.14368842388</v>
      </c>
      <c r="W32" s="90">
        <f t="shared" si="3"/>
        <v>693195.53911017743</v>
      </c>
      <c r="Y32" s="90">
        <f>F32*(VLOOKUP(A32, 'OE&amp;E by Cluster'!$B$6:$C$9,2,FALSE))</f>
        <v>539847.74825288856</v>
      </c>
      <c r="AA32" s="240">
        <f>'AB1058'!E30</f>
        <v>56326.599999999991</v>
      </c>
      <c r="AB32" s="90">
        <f t="shared" si="4"/>
        <v>2218881.565229638</v>
      </c>
      <c r="AC32" s="91">
        <f t="shared" si="1"/>
        <v>6.0800492761416797E-4</v>
      </c>
      <c r="AD32" s="55">
        <f t="shared" si="5"/>
        <v>170683.19732535677</v>
      </c>
    </row>
    <row r="33" spans="1:30" ht="20.100000000000001" customHeight="1" x14ac:dyDescent="0.3">
      <c r="A33" s="65">
        <v>3</v>
      </c>
      <c r="B33" s="66" t="s">
        <v>44</v>
      </c>
      <c r="D33" s="67">
        <f>RAS!M33</f>
        <v>190</v>
      </c>
      <c r="E33" s="67">
        <f>RAS!Q33</f>
        <v>33</v>
      </c>
      <c r="F33" s="68">
        <f t="shared" si="0"/>
        <v>223</v>
      </c>
      <c r="H33" s="71">
        <f>(F33-1)*'AVG RAS salary'!$F$66</f>
        <v>18148591.531922862</v>
      </c>
      <c r="I33" s="71">
        <f>(F33-1)*(VLOOKUP(B33,'FTE Allotment Factor'!$B$6:$D$63,3))</f>
        <v>20547099.797466058</v>
      </c>
      <c r="J33" s="71">
        <f>(F33-1)*(VLOOKUP(B33,'FTE Allotment Factor'!$B$6:$H$63,7))</f>
        <v>20547099.797466058</v>
      </c>
      <c r="K33" s="240">
        <f>VLOOKUP(A33,'CEO Salary'!$G$7:$H$13,2)</f>
        <v>250146.99852715383</v>
      </c>
      <c r="L33" s="240">
        <f t="shared" si="6"/>
        <v>283206.2936527757</v>
      </c>
      <c r="N33" s="85">
        <f>VLOOKUP(B33,BLS!$B$5:$I$64,8, FALSE)</f>
        <v>1.1321594715118408</v>
      </c>
      <c r="O33" s="90">
        <f t="shared" si="7"/>
        <v>20830306.091118835</v>
      </c>
      <c r="Q33" s="87">
        <f>VLOOKUP(B33,'Program 10'!$A$7:$G$64,6)</f>
        <v>0.16550187238978697</v>
      </c>
      <c r="R33" s="8">
        <f>VLOOKUP(B33,'Program 10'!$A$7:$G$64,7)</f>
        <v>30124.887894930034</v>
      </c>
      <c r="S33" s="87">
        <f>VLOOKUP(B33,'Program 90'!$A$7:$G$64,6)</f>
        <v>0.16599591692477997</v>
      </c>
      <c r="T33" s="8">
        <f>VLOOKUP(B33,'Program 90'!$A$7:$G$64,7)</f>
        <v>31713.71989876989</v>
      </c>
      <c r="U33" s="72">
        <f>(D33*VLOOKUP(B33,'FTE Allotment Factor'!$B$7:$H$64,7,FALSE)*Q33)+(D33*R33)</f>
        <v>8634137.9921334833</v>
      </c>
      <c r="V33" s="72">
        <f>((((E33-1)*VLOOKUP(B33,'FTE Allotment Factor'!$B$7:$H$64,7,FALSE))+(K33*N33))*S33)+(T33*E33)</f>
        <v>1585201.2751108739</v>
      </c>
      <c r="W33" s="90">
        <f t="shared" si="3"/>
        <v>10219339.267244358</v>
      </c>
      <c r="Y33" s="90">
        <f>F33*(VLOOKUP(A33, 'OE&amp;E by Cluster'!$B$6:$C$9,2,FALSE))</f>
        <v>6020308.2817431055</v>
      </c>
      <c r="AA33" s="240">
        <f>'AB1058'!E31</f>
        <v>635906.33000000007</v>
      </c>
      <c r="AB33" s="90">
        <f t="shared" si="4"/>
        <v>36434047.3101063</v>
      </c>
      <c r="AC33" s="91">
        <f t="shared" si="1"/>
        <v>9.9834442020702314E-3</v>
      </c>
      <c r="AD33" s="55">
        <f t="shared" si="5"/>
        <v>163381.37807222555</v>
      </c>
    </row>
    <row r="34" spans="1:30" ht="20.100000000000001" customHeight="1" x14ac:dyDescent="0.3">
      <c r="A34" s="65">
        <v>2</v>
      </c>
      <c r="B34" s="66" t="s">
        <v>29</v>
      </c>
      <c r="D34" s="67">
        <f>RAS!M34</f>
        <v>61</v>
      </c>
      <c r="E34" s="67">
        <f>RAS!Q34</f>
        <v>13</v>
      </c>
      <c r="F34" s="68">
        <f t="shared" si="0"/>
        <v>74</v>
      </c>
      <c r="H34" s="71">
        <f>(F34-1)*'AVG RAS salary'!$F$66</f>
        <v>5967780.0983349951</v>
      </c>
      <c r="I34" s="71">
        <f>(F34-1)*(VLOOKUP(B34,'FTE Allotment Factor'!$B$6:$D$63,3))</f>
        <v>7682326.1104710195</v>
      </c>
      <c r="J34" s="71">
        <f>(F34-1)*(VLOOKUP(B34,'FTE Allotment Factor'!$B$6:$H$63,7))</f>
        <v>7682326.1104710195</v>
      </c>
      <c r="K34" s="240">
        <f>VLOOKUP(A34,'CEO Salary'!$G$7:$H$13,2)</f>
        <v>223556.37369018179</v>
      </c>
      <c r="L34" s="240">
        <f t="shared" si="6"/>
        <v>287784.22436199721</v>
      </c>
      <c r="N34" s="85">
        <f>VLOOKUP(B34,BLS!$B$5:$I$64,8, FALSE)</f>
        <v>1.2873004674911499</v>
      </c>
      <c r="O34" s="90">
        <f t="shared" si="7"/>
        <v>7970110.3348330166</v>
      </c>
      <c r="Q34" s="87">
        <f>VLOOKUP(B34,'Program 10'!$A$7:$G$64,6)</f>
        <v>0.27694060588542607</v>
      </c>
      <c r="R34" s="8">
        <f>VLOOKUP(B34,'Program 10'!$A$7:$G$64,7)</f>
        <v>25277.65319383259</v>
      </c>
      <c r="S34" s="87">
        <f>VLOOKUP(B34,'Program 90'!$A$7:$G$64,6)</f>
        <v>0.25987372548995546</v>
      </c>
      <c r="T34" s="8">
        <f>VLOOKUP(B34,'Program 90'!$A$7:$G$64,7)</f>
        <v>24671.61538461539</v>
      </c>
      <c r="U34" s="72">
        <f>(D34*VLOOKUP(B34,'FTE Allotment Factor'!$B$7:$H$64,7,FALSE)*Q34)+(D34*R34)</f>
        <v>3319750.9668270703</v>
      </c>
      <c r="V34" s="72">
        <f>((((E34-1)*VLOOKUP(B34,'FTE Allotment Factor'!$B$7:$H$64,7,FALSE))+(K34*N34))*S34)+(T34*E34)</f>
        <v>723699.60620824911</v>
      </c>
      <c r="W34" s="90">
        <f t="shared" si="3"/>
        <v>4043450.5730353193</v>
      </c>
      <c r="Y34" s="90">
        <f>F34*(VLOOKUP(A34, 'OE&amp;E by Cluster'!$B$6:$C$9,2,FALSE))</f>
        <v>1997770.4612062322</v>
      </c>
      <c r="AA34" s="240">
        <f>'AB1058'!E32</f>
        <v>185591.19</v>
      </c>
      <c r="AB34" s="90">
        <f t="shared" si="4"/>
        <v>13825740.179074569</v>
      </c>
      <c r="AC34" s="91">
        <f t="shared" si="1"/>
        <v>3.7884483284354813E-3</v>
      </c>
      <c r="AD34" s="55">
        <f t="shared" si="5"/>
        <v>186834.32674425092</v>
      </c>
    </row>
    <row r="35" spans="1:30" ht="20.100000000000001" customHeight="1" x14ac:dyDescent="0.3">
      <c r="A35" s="65">
        <v>2</v>
      </c>
      <c r="B35" s="66" t="s">
        <v>30</v>
      </c>
      <c r="D35" s="67">
        <f>RAS!M35</f>
        <v>44</v>
      </c>
      <c r="E35" s="67">
        <f>RAS!Q35</f>
        <v>10</v>
      </c>
      <c r="F35" s="68">
        <f t="shared" si="0"/>
        <v>54</v>
      </c>
      <c r="H35" s="71">
        <f>(F35-1)*'AVG RAS salary'!$F$66</f>
        <v>4332771.8522158181</v>
      </c>
      <c r="I35" s="71">
        <f>(F35-1)*(VLOOKUP(B35,'FTE Allotment Factor'!$B$6:$D$63,3))</f>
        <v>4591439.417696692</v>
      </c>
      <c r="J35" s="71">
        <f>(F35-1)*(VLOOKUP(B35,'FTE Allotment Factor'!$B$6:$H$63,7))</f>
        <v>4591439.417696692</v>
      </c>
      <c r="K35" s="240">
        <f>VLOOKUP(A35,'CEO Salary'!$G$7:$H$13,2)</f>
        <v>223556.37369018179</v>
      </c>
      <c r="L35" s="240">
        <f t="shared" si="6"/>
        <v>236902.74522843826</v>
      </c>
      <c r="N35" s="85">
        <f>VLOOKUP(B35,BLS!$B$5:$I$64,8, FALSE)</f>
        <v>1.0597002506256104</v>
      </c>
      <c r="O35" s="90">
        <f t="shared" si="7"/>
        <v>4828342.1629251307</v>
      </c>
      <c r="Q35" s="87">
        <f>VLOOKUP(B35,'Program 10'!$A$7:$G$64,6)</f>
        <v>0.46924746886615332</v>
      </c>
      <c r="R35" s="8">
        <f>VLOOKUP(B35,'Program 10'!$A$7:$G$64,7)</f>
        <v>23962.2603911521</v>
      </c>
      <c r="S35" s="87">
        <f>VLOOKUP(B35,'Program 90'!$A$7:$G$64,6)</f>
        <v>0.50139999999999996</v>
      </c>
      <c r="T35" s="8">
        <f>VLOOKUP(B35,'Program 90'!$A$7:$G$64,7)</f>
        <v>30519.915555555548</v>
      </c>
      <c r="U35" s="72">
        <f>(D35*VLOOKUP(B35,'FTE Allotment Factor'!$B$7:$H$64,7,FALSE)*Q35)+(D35*R35)</f>
        <v>2842998.6705896384</v>
      </c>
      <c r="V35" s="72">
        <f>((((E35-1)*VLOOKUP(B35,'FTE Allotment Factor'!$B$7:$H$64,7,FALSE))+(K35*N35))*S35)+(T35*E35)</f>
        <v>814912.93760362454</v>
      </c>
      <c r="W35" s="90">
        <f t="shared" si="3"/>
        <v>3657911.6081932629</v>
      </c>
      <c r="Y35" s="90">
        <f>F35*(VLOOKUP(A35, 'OE&amp;E by Cluster'!$B$6:$C$9,2,FALSE))</f>
        <v>1457832.4987180615</v>
      </c>
      <c r="AA35" s="240">
        <f>'AB1058'!E33</f>
        <v>364921.69000000006</v>
      </c>
      <c r="AB35" s="90">
        <f t="shared" si="4"/>
        <v>9579164.5798364561</v>
      </c>
      <c r="AC35" s="91">
        <f t="shared" si="1"/>
        <v>2.62482656047706E-3</v>
      </c>
      <c r="AD35" s="55">
        <f t="shared" si="5"/>
        <v>177391.93666363807</v>
      </c>
    </row>
    <row r="36" spans="1:30" ht="20.100000000000001" customHeight="1" x14ac:dyDescent="0.3">
      <c r="A36" s="65">
        <v>4</v>
      </c>
      <c r="B36" s="66" t="s">
        <v>55</v>
      </c>
      <c r="D36" s="67">
        <f>RAS!M36</f>
        <v>1308</v>
      </c>
      <c r="E36" s="67">
        <f>RAS!Q36</f>
        <v>234</v>
      </c>
      <c r="F36" s="68">
        <f t="shared" si="0"/>
        <v>1542</v>
      </c>
      <c r="H36" s="71">
        <f>(F36-1)*'AVG RAS salary'!$F$66</f>
        <v>125977385.36348256</v>
      </c>
      <c r="I36" s="71">
        <f>(F36-1)*(VLOOKUP(B36,'FTE Allotment Factor'!$B$6:$D$63,3))</f>
        <v>154343144.60615787</v>
      </c>
      <c r="J36" s="71">
        <f>(F36-1)*(VLOOKUP(B36,'FTE Allotment Factor'!$B$6:$H$63,7))</f>
        <v>154343144.60615787</v>
      </c>
      <c r="K36" s="240">
        <f>VLOOKUP(A36,'CEO Salary'!$G$7:$H$13,2)</f>
        <v>337996.00194199994</v>
      </c>
      <c r="L36" s="240">
        <f t="shared" si="6"/>
        <v>414101.03609881096</v>
      </c>
      <c r="N36" s="85">
        <f>VLOOKUP(B36,BLS!$B$5:$I$64,8, FALSE)</f>
        <v>1.2251654863357544</v>
      </c>
      <c r="O36" s="90">
        <f t="shared" si="7"/>
        <v>154757245.64225668</v>
      </c>
      <c r="Q36" s="87">
        <f>VLOOKUP(B36,'Program 10'!$A$7:$G$64,6)</f>
        <v>0.38867185981217112</v>
      </c>
      <c r="R36" s="8">
        <f>VLOOKUP(B36,'Program 10'!$A$7:$G$64,7)</f>
        <v>16931.424372018417</v>
      </c>
      <c r="S36" s="87">
        <f>VLOOKUP(B36,'Program 90'!$A$7:$G$64,6)</f>
        <v>0.39263637328635859</v>
      </c>
      <c r="T36" s="8">
        <f>VLOOKUP(B36,'Program 90'!$A$7:$G$64,7)</f>
        <v>17677.824677516575</v>
      </c>
      <c r="U36" s="72">
        <f>(D36*VLOOKUP(B36,'FTE Allotment Factor'!$B$7:$H$64,7,FALSE)*Q36)+(D36*R36)</f>
        <v>73064796.835148558</v>
      </c>
      <c r="V36" s="72">
        <f>((((E36-1)*VLOOKUP(B36,'FTE Allotment Factor'!$B$7:$H$64,7,FALSE))+(K36*N36))*S36)+(T36*E36)</f>
        <v>13462064.324011784</v>
      </c>
      <c r="W36" s="90">
        <f t="shared" si="3"/>
        <v>86526861.159160346</v>
      </c>
      <c r="Y36" s="90">
        <f>F36*(VLOOKUP(A36, 'OE&amp;E by Cluster'!$B$6:$C$9,2,FALSE))</f>
        <v>41629216.907837972</v>
      </c>
      <c r="AA36" s="240">
        <f>'AB1058'!E34</f>
        <v>3046049.05</v>
      </c>
      <c r="AB36" s="90">
        <f t="shared" si="4"/>
        <v>279867274.65925497</v>
      </c>
      <c r="AC36" s="91">
        <f t="shared" si="1"/>
        <v>7.6687591053632639E-2</v>
      </c>
      <c r="AD36" s="55">
        <f t="shared" si="5"/>
        <v>181496.28706825874</v>
      </c>
    </row>
    <row r="37" spans="1:30" ht="20.100000000000001" customHeight="1" x14ac:dyDescent="0.3">
      <c r="A37" s="65">
        <v>2</v>
      </c>
      <c r="B37" s="66" t="s">
        <v>31</v>
      </c>
      <c r="D37" s="67">
        <f>RAS!M37</f>
        <v>169</v>
      </c>
      <c r="E37" s="67">
        <f>RAS!Q37</f>
        <v>35</v>
      </c>
      <c r="F37" s="68">
        <f t="shared" si="0"/>
        <v>204</v>
      </c>
      <c r="H37" s="71">
        <f>(F37-1)*'AVG RAS salary'!$F$66</f>
        <v>16595333.698109644</v>
      </c>
      <c r="I37" s="71">
        <f>(F37-1)*(VLOOKUP(B37,'FTE Allotment Factor'!$B$6:$D$63,3))</f>
        <v>19274488.573229361</v>
      </c>
      <c r="J37" s="71">
        <f>(F37-1)*(VLOOKUP(B37,'FTE Allotment Factor'!$B$6:$H$63,7))</f>
        <v>19274488.573229361</v>
      </c>
      <c r="K37" s="240">
        <f>VLOOKUP(A37,'CEO Salary'!$G$7:$H$13,2)</f>
        <v>223556.37369018179</v>
      </c>
      <c r="L37" s="240">
        <f t="shared" si="6"/>
        <v>259647.37127610928</v>
      </c>
      <c r="N37" s="85">
        <f>VLOOKUP(B37,BLS!$B$5:$I$64,8, FALSE)</f>
        <v>1.1614402532577515</v>
      </c>
      <c r="O37" s="90">
        <f t="shared" si="7"/>
        <v>19534135.944505472</v>
      </c>
      <c r="Q37" s="87">
        <f>VLOOKUP(B37,'Program 10'!$A$7:$G$64,6)</f>
        <v>0.40926209648582113</v>
      </c>
      <c r="R37" s="8">
        <f>VLOOKUP(B37,'Program 10'!$A$7:$G$64,7)</f>
        <v>31275.962901896124</v>
      </c>
      <c r="S37" s="87">
        <f>VLOOKUP(B37,'Program 90'!$A$7:$G$64,6)</f>
        <v>0.41339999999999993</v>
      </c>
      <c r="T37" s="8">
        <f>VLOOKUP(B37,'Program 90'!$A$7:$G$64,7)</f>
        <v>31721.273972602739</v>
      </c>
      <c r="U37" s="72">
        <f>(D37*VLOOKUP(B37,'FTE Allotment Factor'!$B$7:$H$64,7,FALSE)*Q37)+(D37*R37)</f>
        <v>11852759.280997012</v>
      </c>
      <c r="V37" s="72">
        <f>((((E37-1)*VLOOKUP(B37,'FTE Allotment Factor'!$B$7:$H$64,7,FALSE))+(K37*N37))*S37)+(T37*E37)</f>
        <v>2552137.0073506916</v>
      </c>
      <c r="W37" s="90">
        <f t="shared" si="3"/>
        <v>14404896.288347702</v>
      </c>
      <c r="Y37" s="90">
        <f>F37*(VLOOKUP(A37, 'OE&amp;E by Cluster'!$B$6:$C$9,2,FALSE))</f>
        <v>5507367.2173793428</v>
      </c>
      <c r="AA37" s="240">
        <f>'AB1058'!E35</f>
        <v>357548.26999999996</v>
      </c>
      <c r="AB37" s="90">
        <f t="shared" si="4"/>
        <v>39088851.180232517</v>
      </c>
      <c r="AC37" s="91">
        <f t="shared" si="1"/>
        <v>1.0710898005905342E-2</v>
      </c>
      <c r="AD37" s="55">
        <f t="shared" si="5"/>
        <v>191612.01558937508</v>
      </c>
    </row>
    <row r="38" spans="1:30" ht="20.100000000000001" customHeight="1" x14ac:dyDescent="0.3">
      <c r="A38" s="65">
        <v>1</v>
      </c>
      <c r="B38" s="66" t="s">
        <v>15</v>
      </c>
      <c r="D38" s="67">
        <f>RAS!M38</f>
        <v>10</v>
      </c>
      <c r="E38" s="67">
        <f>RAS!Q38</f>
        <v>4</v>
      </c>
      <c r="F38" s="68">
        <f t="shared" si="0"/>
        <v>14</v>
      </c>
      <c r="H38" s="71">
        <f>(F38-1)*'AVG RAS salary'!$F$66</f>
        <v>1062755.3599774649</v>
      </c>
      <c r="I38" s="71">
        <f>(F38-1)*(VLOOKUP(B38,'FTE Allotment Factor'!$B$6:$D$63,3))</f>
        <v>771656.87767130136</v>
      </c>
      <c r="J38" s="71">
        <f>(F38-1)*(VLOOKUP(B38,'FTE Allotment Factor'!$B$6:$H$63,7))</f>
        <v>810086.99004992307</v>
      </c>
      <c r="K38" s="240">
        <f>VLOOKUP(A38,'CEO Salary'!$G$7:$H$13,2)</f>
        <v>159403.30333333334</v>
      </c>
      <c r="L38" s="240">
        <f t="shared" si="6"/>
        <v>115741.27026120067</v>
      </c>
      <c r="N38" s="85">
        <f>VLOOKUP(B38,BLS!$B$5:$I$64,8, FALSE)</f>
        <v>0.72609078884124756</v>
      </c>
      <c r="O38" s="90">
        <f t="shared" si="7"/>
        <v>925828.26031112368</v>
      </c>
      <c r="Q38" s="87">
        <f>VLOOKUP(B38,'Program 10'!$A$7:$G$64,6)</f>
        <v>0.39078758258067997</v>
      </c>
      <c r="R38" s="8">
        <f>VLOOKUP(B38,'Program 10'!$A$7:$G$64,7)</f>
        <v>54322.596417910449</v>
      </c>
      <c r="S38" s="87">
        <f>VLOOKUP(B38,'Program 90'!$A$7:$G$64,6)</f>
        <v>0.4098</v>
      </c>
      <c r="T38" s="8">
        <f>VLOOKUP(B38,'Program 90'!$A$7:$G$64,7)</f>
        <v>72615.88</v>
      </c>
      <c r="U38" s="72">
        <f>(D38*VLOOKUP(B38,'FTE Allotment Factor'!$B$7:$H$64,7,FALSE)*Q38)+(D38*R38)</f>
        <v>786742.838426542</v>
      </c>
      <c r="V38" s="72">
        <f>((((E38-1)*VLOOKUP(B38,'FTE Allotment Factor'!$B$7:$H$64,7,FALSE))+(K38*N38))*S38)+(T38*E38)</f>
        <v>414503.59605822281</v>
      </c>
      <c r="W38" s="90">
        <f t="shared" si="3"/>
        <v>1201246.4344847649</v>
      </c>
      <c r="Y38" s="90">
        <f>F38*(VLOOKUP(A38, 'OE&amp;E by Cluster'!$B$6:$C$9,2,FALSE))</f>
        <v>581374.49811849534</v>
      </c>
      <c r="AA38" s="240">
        <f>'AB1058'!E36</f>
        <v>128809.28999999998</v>
      </c>
      <c r="AB38" s="90">
        <f t="shared" si="4"/>
        <v>2579639.9029143844</v>
      </c>
      <c r="AC38" s="91">
        <f t="shared" si="1"/>
        <v>7.068578138733412E-4</v>
      </c>
      <c r="AD38" s="55">
        <f t="shared" si="5"/>
        <v>184259.99306531317</v>
      </c>
    </row>
    <row r="39" spans="1:30" ht="20.100000000000001" customHeight="1" x14ac:dyDescent="0.3">
      <c r="A39" s="65">
        <v>4</v>
      </c>
      <c r="B39" s="66" t="s">
        <v>56</v>
      </c>
      <c r="D39" s="67">
        <f>RAS!M39</f>
        <v>1101</v>
      </c>
      <c r="E39" s="67">
        <f>RAS!Q39</f>
        <v>194</v>
      </c>
      <c r="F39" s="68">
        <f t="shared" ref="F39:F64" si="8">SUM(D39:E39)</f>
        <v>1295</v>
      </c>
      <c r="H39" s="71">
        <f>(F39-1)*'AVG RAS salary'!$F$66</f>
        <v>105785033.52391073</v>
      </c>
      <c r="I39" s="71">
        <f>(F39-1)*(VLOOKUP(B39,'FTE Allotment Factor'!$B$6:$D$63,3))</f>
        <v>112040955.14293772</v>
      </c>
      <c r="J39" s="71">
        <f>(F39-1)*(VLOOKUP(B39,'FTE Allotment Factor'!$B$6:$H$63,7))</f>
        <v>112040955.14293772</v>
      </c>
      <c r="K39" s="240">
        <f>VLOOKUP(A39,'CEO Salary'!$G$7:$H$13,2)</f>
        <v>337996.00194199994</v>
      </c>
      <c r="L39" s="240">
        <f t="shared" si="6"/>
        <v>357984.42965484562</v>
      </c>
      <c r="N39" s="85">
        <f>VLOOKUP(B39,BLS!$B$5:$I$64,8, FALSE)</f>
        <v>1.0591380596160889</v>
      </c>
      <c r="O39" s="90">
        <f t="shared" si="7"/>
        <v>112398939.57259257</v>
      </c>
      <c r="Q39" s="87">
        <f>VLOOKUP(B39,'Program 10'!$A$7:$G$64,6)</f>
        <v>0.26990536884019078</v>
      </c>
      <c r="R39" s="8">
        <f>VLOOKUP(B39,'Program 10'!$A$7:$G$64,7)</f>
        <v>36989.020944290147</v>
      </c>
      <c r="S39" s="87">
        <f>VLOOKUP(B39,'Program 90'!$A$7:$G$64,6)</f>
        <v>0.27001710845944227</v>
      </c>
      <c r="T39" s="8">
        <f>VLOOKUP(B39,'Program 90'!$A$7:$G$64,7)</f>
        <v>41179.68438010104</v>
      </c>
      <c r="U39" s="72">
        <f>(D39*VLOOKUP(B39,'FTE Allotment Factor'!$B$7:$H$64,7,FALSE)*Q39)+(D39*R39)</f>
        <v>66455005.808265559</v>
      </c>
      <c r="V39" s="72">
        <f>((((E39-1)*VLOOKUP(B39,'FTE Allotment Factor'!$B$7:$H$64,7,FALSE))+(K39*N39))*S39)+(T39*E39)</f>
        <v>12597749.534349397</v>
      </c>
      <c r="W39" s="90">
        <f t="shared" ref="W39:W64" si="9">SUM(U39:V39)</f>
        <v>79052755.342614949</v>
      </c>
      <c r="Y39" s="90">
        <f>F39*(VLOOKUP(A39, 'OE&amp;E by Cluster'!$B$6:$C$9,2,FALSE))</f>
        <v>34960983.071109064</v>
      </c>
      <c r="AA39" s="240">
        <f>'AB1058'!E37</f>
        <v>2751860.18</v>
      </c>
      <c r="AB39" s="90">
        <f t="shared" ref="AB39:AB64" si="10">(O39+W39+Y39)-AA39</f>
        <v>223660817.80631655</v>
      </c>
      <c r="AC39" s="91">
        <f t="shared" ref="AC39:AC64" si="11">AB39/$AB$65</f>
        <v>6.1286227021486589E-2</v>
      </c>
      <c r="AD39" s="55">
        <f t="shared" si="5"/>
        <v>172711.05622109387</v>
      </c>
    </row>
    <row r="40" spans="1:30" ht="20.100000000000001" customHeight="1" x14ac:dyDescent="0.3">
      <c r="A40" s="65">
        <v>4</v>
      </c>
      <c r="B40" s="66" t="s">
        <v>57</v>
      </c>
      <c r="D40" s="67">
        <f>RAS!M40</f>
        <v>731</v>
      </c>
      <c r="E40" s="67">
        <f>RAS!Q40</f>
        <v>125</v>
      </c>
      <c r="F40" s="68">
        <f t="shared" si="8"/>
        <v>856</v>
      </c>
      <c r="H40" s="71">
        <f>(F40-1)*'AVG RAS salary'!$F$66</f>
        <v>69896602.521594808</v>
      </c>
      <c r="I40" s="71">
        <f>(F40-1)*(VLOOKUP(B40,'FTE Allotment Factor'!$B$6:$D$63,3))</f>
        <v>92813019.119551182</v>
      </c>
      <c r="J40" s="71">
        <f>(F40-1)*(VLOOKUP(B40,'FTE Allotment Factor'!$B$6:$H$63,7))</f>
        <v>92813019.119551182</v>
      </c>
      <c r="K40" s="240">
        <f>VLOOKUP(A40,'CEO Salary'!$G$7:$H$13,2)</f>
        <v>337996.00194199994</v>
      </c>
      <c r="L40" s="240">
        <f t="shared" si="6"/>
        <v>448811.9344696718</v>
      </c>
      <c r="N40" s="85">
        <f>VLOOKUP(B40,BLS!$B$5:$I$64,8, FALSE)</f>
        <v>1.3278616666793823</v>
      </c>
      <c r="O40" s="90">
        <f t="shared" si="7"/>
        <v>93261831.054020852</v>
      </c>
      <c r="Q40" s="87">
        <f>VLOOKUP(B40,'Program 10'!$A$7:$G$64,6)</f>
        <v>0.38636599282598133</v>
      </c>
      <c r="R40" s="8">
        <f>VLOOKUP(B40,'Program 10'!$A$7:$G$64,7)</f>
        <v>23182.418174613424</v>
      </c>
      <c r="S40" s="87">
        <f>VLOOKUP(B40,'Program 90'!$A$7:$G$64,6)</f>
        <v>0.39668947398857057</v>
      </c>
      <c r="T40" s="8">
        <f>VLOOKUP(B40,'Program 90'!$A$7:$G$64,7)</f>
        <v>23088.390127413903</v>
      </c>
      <c r="U40" s="72">
        <f>(D40*VLOOKUP(B40,'FTE Allotment Factor'!$B$7:$H$64,7,FALSE)*Q40)+(D40*R40)</f>
        <v>47605423.262449309</v>
      </c>
      <c r="V40" s="72">
        <f>((((E40-1)*VLOOKUP(B40,'FTE Allotment Factor'!$B$7:$H$64,7,FALSE))+(K40*N40))*S40)+(T40*E40)</f>
        <v>8403766.7057154123</v>
      </c>
      <c r="W40" s="90">
        <f t="shared" si="9"/>
        <v>56009189.96816472</v>
      </c>
      <c r="Y40" s="90">
        <f>F40*(VLOOKUP(A40, 'OE&amp;E by Cluster'!$B$6:$C$9,2,FALSE))</f>
        <v>23109344.794493712</v>
      </c>
      <c r="AA40" s="240">
        <f>'AB1058'!E38</f>
        <v>2529694.4299999997</v>
      </c>
      <c r="AB40" s="90">
        <f t="shared" si="10"/>
        <v>169850671.38667926</v>
      </c>
      <c r="AC40" s="91">
        <f t="shared" si="11"/>
        <v>4.6541485935950824E-2</v>
      </c>
      <c r="AD40" s="55">
        <f t="shared" si="5"/>
        <v>198423.68152649447</v>
      </c>
    </row>
    <row r="41" spans="1:30" ht="20.100000000000001" customHeight="1" x14ac:dyDescent="0.3">
      <c r="A41" s="65">
        <v>1</v>
      </c>
      <c r="B41" s="66" t="s">
        <v>16</v>
      </c>
      <c r="D41" s="67">
        <f>RAS!M41</f>
        <v>30</v>
      </c>
      <c r="E41" s="67">
        <f>RAS!Q41</f>
        <v>10</v>
      </c>
      <c r="F41" s="68">
        <f t="shared" si="8"/>
        <v>40</v>
      </c>
      <c r="H41" s="71">
        <f>(F41-1)*'AVG RAS salary'!$F$66</f>
        <v>3188266.0799323944</v>
      </c>
      <c r="I41" s="71">
        <f>(F41-1)*(VLOOKUP(B41,'FTE Allotment Factor'!$B$6:$D$63,3))</f>
        <v>3290238.3514598873</v>
      </c>
      <c r="J41" s="71">
        <f>(F41-1)*(VLOOKUP(B41,'FTE Allotment Factor'!$B$6:$H$63,7))</f>
        <v>3290238.3514598873</v>
      </c>
      <c r="K41" s="240">
        <f>VLOOKUP(A41,'CEO Salary'!$G$7:$H$13,2)</f>
        <v>159403.30333333334</v>
      </c>
      <c r="L41" s="240">
        <f t="shared" si="6"/>
        <v>164501.59705235402</v>
      </c>
      <c r="N41" s="85">
        <f>VLOOKUP(B41,BLS!$B$5:$I$64,8, FALSE)</f>
        <v>1.0319836139678955</v>
      </c>
      <c r="O41" s="90">
        <f t="shared" si="7"/>
        <v>3454739.9485122412</v>
      </c>
      <c r="Q41" s="87">
        <f>VLOOKUP(B41,'Program 10'!$A$7:$G$64,6)</f>
        <v>0.17480000000000001</v>
      </c>
      <c r="R41" s="8">
        <f>VLOOKUP(B41,'Program 10'!$A$7:$G$64,7)</f>
        <v>17516.374412955465</v>
      </c>
      <c r="S41" s="87">
        <f>VLOOKUP(B41,'Program 90'!$A$7:$G$64,6)</f>
        <v>0.17479999999999998</v>
      </c>
      <c r="T41" s="8">
        <f>VLOOKUP(B41,'Program 90'!$A$7:$G$64,7)</f>
        <v>22588.278571428575</v>
      </c>
      <c r="U41" s="72">
        <f>(D41*VLOOKUP(B41,'FTE Allotment Factor'!$B$7:$H$64,7,FALSE)*Q41)+(D41*R41)</f>
        <v>967901.74303111644</v>
      </c>
      <c r="V41" s="72">
        <f>((((E41-1)*VLOOKUP(B41,'FTE Allotment Factor'!$B$7:$H$64,7,FALSE))+(K41*N41))*S41)+(T41*E41)</f>
        <v>387360.81807177298</v>
      </c>
      <c r="W41" s="90">
        <f t="shared" si="9"/>
        <v>1355262.5611028895</v>
      </c>
      <c r="Y41" s="90">
        <f>F41*(VLOOKUP(A41, 'OE&amp;E by Cluster'!$B$6:$C$9,2,FALSE))</f>
        <v>1661069.9946242725</v>
      </c>
      <c r="AA41" s="240">
        <f>'AB1058'!E39</f>
        <v>183595.25000000003</v>
      </c>
      <c r="AB41" s="90">
        <f t="shared" si="10"/>
        <v>6287477.2542394027</v>
      </c>
      <c r="AC41" s="91">
        <f t="shared" si="11"/>
        <v>1.7228576832328236E-3</v>
      </c>
      <c r="AD41" s="55">
        <f t="shared" si="5"/>
        <v>157186.93135598506</v>
      </c>
    </row>
    <row r="42" spans="1:30" ht="20.100000000000001" customHeight="1" x14ac:dyDescent="0.3">
      <c r="A42" s="65">
        <v>4</v>
      </c>
      <c r="B42" s="66" t="s">
        <v>58</v>
      </c>
      <c r="D42" s="67">
        <f>RAS!M42</f>
        <v>1130</v>
      </c>
      <c r="E42" s="67">
        <f>RAS!Q42</f>
        <v>196</v>
      </c>
      <c r="F42" s="68">
        <f t="shared" si="8"/>
        <v>1326</v>
      </c>
      <c r="H42" s="71">
        <f>(F42-1)*'AVG RAS salary'!$F$66</f>
        <v>108319296.30539545</v>
      </c>
      <c r="I42" s="71">
        <f>(F42-1)*(VLOOKUP(B42,'FTE Allotment Factor'!$B$6:$D$63,3))</f>
        <v>124502444.05955647</v>
      </c>
      <c r="J42" s="71">
        <f>(F42-1)*(VLOOKUP(B42,'FTE Allotment Factor'!$B$6:$H$63,7))</f>
        <v>124502444.05955647</v>
      </c>
      <c r="K42" s="240">
        <f>VLOOKUP(A42,'CEO Salary'!$G$7:$H$13,2)</f>
        <v>337996.00194199994</v>
      </c>
      <c r="L42" s="240">
        <f t="shared" si="6"/>
        <v>388493.36876684905</v>
      </c>
      <c r="N42" s="85">
        <f>VLOOKUP(B42,BLS!$B$5:$I$64,8, FALSE)</f>
        <v>1.1494022607803345</v>
      </c>
      <c r="O42" s="90">
        <f t="shared" si="7"/>
        <v>124890937.42832331</v>
      </c>
      <c r="Q42" s="87">
        <f>VLOOKUP(B42,'Program 10'!$A$7:$G$64,6)</f>
        <v>0.23731774903464936</v>
      </c>
      <c r="R42" s="8">
        <f>VLOOKUP(B42,'Program 10'!$A$7:$G$64,7)</f>
        <v>16878.251019666401</v>
      </c>
      <c r="S42" s="87">
        <f>VLOOKUP(B42,'Program 90'!$A$7:$G$64,6)</f>
        <v>0.26706445528636963</v>
      </c>
      <c r="T42" s="8">
        <f>VLOOKUP(B42,'Program 90'!$A$7:$G$64,7)</f>
        <v>18826.198972519116</v>
      </c>
      <c r="U42" s="72">
        <f>(D42*VLOOKUP(B42,'FTE Allotment Factor'!$B$7:$H$64,7,FALSE)*Q42)+(D42*R42)</f>
        <v>44270690.025117159</v>
      </c>
      <c r="V42" s="72">
        <f>((((E42-1)*VLOOKUP(B42,'FTE Allotment Factor'!$B$7:$H$64,7,FALSE))+(K42*N42))*S42)+(T42*E42)</f>
        <v>8687110.1035405453</v>
      </c>
      <c r="W42" s="90">
        <f t="shared" si="9"/>
        <v>52957800.128657706</v>
      </c>
      <c r="Y42" s="90">
        <f>F42*(VLOOKUP(A42, 'OE&amp;E by Cluster'!$B$6:$C$9,2,FALSE))</f>
        <v>35797886.91296573</v>
      </c>
      <c r="AA42" s="240">
        <f>'AB1058'!E40</f>
        <v>4381903.3899999997</v>
      </c>
      <c r="AB42" s="90">
        <f t="shared" si="10"/>
        <v>209264721.07994676</v>
      </c>
      <c r="AC42" s="91">
        <f t="shared" si="11"/>
        <v>5.7341492933285193E-2</v>
      </c>
      <c r="AD42" s="55">
        <f t="shared" si="5"/>
        <v>157816.53173449982</v>
      </c>
    </row>
    <row r="43" spans="1:30" ht="20.100000000000001" customHeight="1" x14ac:dyDescent="0.3">
      <c r="A43" s="65">
        <v>4</v>
      </c>
      <c r="B43" s="66" t="s">
        <v>59</v>
      </c>
      <c r="D43" s="67">
        <f>RAS!M43</f>
        <v>1112</v>
      </c>
      <c r="E43" s="67">
        <f>RAS!Q43</f>
        <v>189</v>
      </c>
      <c r="F43" s="68">
        <f t="shared" si="8"/>
        <v>1301</v>
      </c>
      <c r="H43" s="71">
        <f>(F43-1)*'AVG RAS salary'!$F$66</f>
        <v>106275535.99774648</v>
      </c>
      <c r="I43" s="71">
        <f>(F43-1)*(VLOOKUP(B43,'FTE Allotment Factor'!$B$6:$D$63,3))</f>
        <v>126484984.44146505</v>
      </c>
      <c r="J43" s="71">
        <f>(F43-1)*(VLOOKUP(B43,'FTE Allotment Factor'!$B$6:$H$63,7))</f>
        <v>126484984.44146505</v>
      </c>
      <c r="K43" s="240">
        <f>VLOOKUP(A43,'CEO Salary'!$G$7:$H$13,2)</f>
        <v>337996.00194199994</v>
      </c>
      <c r="L43" s="240">
        <f t="shared" si="6"/>
        <v>402269.61591440742</v>
      </c>
      <c r="N43" s="85">
        <f>VLOOKUP(B43,BLS!$B$5:$I$64,8, FALSE)</f>
        <v>1.190160870552063</v>
      </c>
      <c r="O43" s="90">
        <f t="shared" si="7"/>
        <v>126887254.05737945</v>
      </c>
      <c r="Q43" s="87">
        <f>VLOOKUP(B43,'Program 10'!$A$7:$G$64,6)</f>
        <v>0.48807239475486985</v>
      </c>
      <c r="R43" s="8">
        <f>VLOOKUP(B43,'Program 10'!$A$7:$G$64,7)</f>
        <v>29334.821688083553</v>
      </c>
      <c r="S43" s="87">
        <f>VLOOKUP(B43,'Program 90'!$A$7:$G$64,6)</f>
        <v>0.50491490450372467</v>
      </c>
      <c r="T43" s="8">
        <f>VLOOKUP(B43,'Program 90'!$A$7:$G$64,7)</f>
        <v>29695.184608457974</v>
      </c>
      <c r="U43" s="72">
        <f>(D43*VLOOKUP(B43,'FTE Allotment Factor'!$B$7:$H$64,7,FALSE)*Q43)+(D43*R43)</f>
        <v>85426489.512263268</v>
      </c>
      <c r="V43" s="72">
        <f>((((E43-1)*VLOOKUP(B43,'FTE Allotment Factor'!$B$7:$H$64,7,FALSE))+(K43*N43))*S43)+(T43*E43)</f>
        <v>15051240.986470789</v>
      </c>
      <c r="W43" s="90">
        <f t="shared" si="9"/>
        <v>100477730.49873406</v>
      </c>
      <c r="Y43" s="90">
        <f>F43*(VLOOKUP(A43, 'OE&amp;E by Cluster'!$B$6:$C$9,2,FALSE))</f>
        <v>35122964.459855519</v>
      </c>
      <c r="AA43" s="240">
        <f>'AB1058'!E41</f>
        <v>4107049.19</v>
      </c>
      <c r="AB43" s="90">
        <f t="shared" si="10"/>
        <v>258380899.82596904</v>
      </c>
      <c r="AC43" s="91">
        <f t="shared" si="11"/>
        <v>7.0800020495602037E-2</v>
      </c>
      <c r="AD43" s="55">
        <f t="shared" si="5"/>
        <v>198601.7677371015</v>
      </c>
    </row>
    <row r="44" spans="1:30" ht="20.100000000000001" customHeight="1" x14ac:dyDescent="0.3">
      <c r="A44" s="65">
        <v>3</v>
      </c>
      <c r="B44" s="66" t="s">
        <v>60</v>
      </c>
      <c r="D44" s="67">
        <f>RAS!M44</f>
        <v>281</v>
      </c>
      <c r="E44" s="67">
        <f>RAS!Q44</f>
        <v>51</v>
      </c>
      <c r="F44" s="68">
        <f t="shared" si="8"/>
        <v>332</v>
      </c>
      <c r="H44" s="71">
        <f>(F44-1)*'AVG RAS salary'!$F$66</f>
        <v>27059386.473272372</v>
      </c>
      <c r="I44" s="71">
        <f>(F44-1)*(VLOOKUP(B44,'FTE Allotment Factor'!$B$6:$D$63,3))</f>
        <v>46709196.399995483</v>
      </c>
      <c r="J44" s="71">
        <f>(F44-1)*(VLOOKUP(B44,'FTE Allotment Factor'!$B$6:$H$63,7))</f>
        <v>46709196.399995483</v>
      </c>
      <c r="K44" s="240">
        <f>VLOOKUP(A44,'CEO Salary'!$G$7:$H$13,2)</f>
        <v>250146.99852715383</v>
      </c>
      <c r="L44" s="240">
        <f t="shared" si="6"/>
        <v>431797.12498711387</v>
      </c>
      <c r="N44" s="85">
        <f>VLOOKUP(B44,BLS!$B$5:$I$64,8, FALSE)</f>
        <v>1.7261735200881958</v>
      </c>
      <c r="O44" s="90">
        <f t="shared" si="7"/>
        <v>47140993.524982594</v>
      </c>
      <c r="Q44" s="87">
        <f>VLOOKUP(B44,'Program 10'!$A$7:$G$64,6)</f>
        <v>0.30835635250935006</v>
      </c>
      <c r="R44" s="8">
        <f>VLOOKUP(B44,'Program 10'!$A$7:$G$64,7)</f>
        <v>39077.900639255968</v>
      </c>
      <c r="S44" s="87">
        <f>VLOOKUP(B44,'Program 90'!$A$7:$G$64,6)</f>
        <v>0.31834308541102241</v>
      </c>
      <c r="T44" s="8">
        <f>VLOOKUP(B44,'Program 90'!$A$7:$G$64,7)</f>
        <v>39075.818999999959</v>
      </c>
      <c r="U44" s="72">
        <f>(D44*VLOOKUP(B44,'FTE Allotment Factor'!$B$7:$H$64,7,FALSE)*Q44)+(D44*R44)</f>
        <v>23208276.05541122</v>
      </c>
      <c r="V44" s="72">
        <f>((((E44-1)*VLOOKUP(B44,'FTE Allotment Factor'!$B$7:$H$64,7,FALSE))+(K44*N44))*S44)+(T44*E44)</f>
        <v>4376481.9417022374</v>
      </c>
      <c r="W44" s="90">
        <f t="shared" si="9"/>
        <v>27584757.997113459</v>
      </c>
      <c r="Y44" s="90">
        <f>F44*(VLOOKUP(A44, 'OE&amp;E by Cluster'!$B$6:$C$9,2,FALSE))</f>
        <v>8962970.1773036364</v>
      </c>
      <c r="AA44" s="240">
        <f>'AB1058'!E42</f>
        <v>1071318.8700000001</v>
      </c>
      <c r="AB44" s="90">
        <f t="shared" si="10"/>
        <v>82617402.82939969</v>
      </c>
      <c r="AC44" s="91">
        <f t="shared" si="11"/>
        <v>2.263833672517852E-2</v>
      </c>
      <c r="AD44" s="55">
        <f t="shared" si="5"/>
        <v>248847.598883734</v>
      </c>
    </row>
    <row r="45" spans="1:30" ht="20.100000000000001" customHeight="1" x14ac:dyDescent="0.3">
      <c r="A45" s="65">
        <v>3</v>
      </c>
      <c r="B45" s="66" t="s">
        <v>45</v>
      </c>
      <c r="D45" s="67">
        <f>RAS!M45</f>
        <v>368</v>
      </c>
      <c r="E45" s="67">
        <f>RAS!Q45</f>
        <v>60</v>
      </c>
      <c r="F45" s="68">
        <f t="shared" si="8"/>
        <v>428</v>
      </c>
      <c r="H45" s="71">
        <f>(F45-1)*'AVG RAS salary'!$F$66</f>
        <v>34907426.054644421</v>
      </c>
      <c r="I45" s="71">
        <f>(F45-1)*(VLOOKUP(B45,'FTE Allotment Factor'!$B$6:$D$63,3))</f>
        <v>37327790.133591875</v>
      </c>
      <c r="J45" s="71">
        <f>(F45-1)*(VLOOKUP(B45,'FTE Allotment Factor'!$B$6:$H$63,7))</f>
        <v>37327790.133591875</v>
      </c>
      <c r="K45" s="240">
        <f>VLOOKUP(A45,'CEO Salary'!$G$7:$H$13,2)</f>
        <v>250146.99852715383</v>
      </c>
      <c r="L45" s="240">
        <f t="shared" si="6"/>
        <v>267491.35410192102</v>
      </c>
      <c r="N45" s="85">
        <f>VLOOKUP(B45,BLS!$B$5:$I$64,8, FALSE)</f>
        <v>1.0693366527557373</v>
      </c>
      <c r="O45" s="90">
        <f t="shared" si="7"/>
        <v>37595281.487693794</v>
      </c>
      <c r="Q45" s="87">
        <f>VLOOKUP(B45,'Program 10'!$A$7:$G$64,6)</f>
        <v>0.50955723029020406</v>
      </c>
      <c r="R45" s="8">
        <f>VLOOKUP(B45,'Program 10'!$A$7:$G$64,7)</f>
        <v>18042.267334407115</v>
      </c>
      <c r="S45" s="87">
        <f>VLOOKUP(B45,'Program 90'!$A$7:$G$64,6)</f>
        <v>0.52781674811896218</v>
      </c>
      <c r="T45" s="8">
        <f>VLOOKUP(B45,'Program 90'!$A$7:$G$64,7)</f>
        <v>15451.40570976671</v>
      </c>
      <c r="U45" s="72">
        <f>(D45*VLOOKUP(B45,'FTE Allotment Factor'!$B$7:$H$64,7,FALSE)*Q45)+(D45*R45)</f>
        <v>23032054.355699677</v>
      </c>
      <c r="V45" s="72">
        <f>((((E45-1)*VLOOKUP(B45,'FTE Allotment Factor'!$B$7:$H$64,7,FALSE))+(K45*N45))*S45)+(T45*E45)</f>
        <v>3790593.3245132696</v>
      </c>
      <c r="W45" s="90">
        <f t="shared" si="9"/>
        <v>26822647.680212945</v>
      </c>
      <c r="Y45" s="90">
        <f>F45*(VLOOKUP(A45, 'OE&amp;E by Cluster'!$B$6:$C$9,2,FALSE))</f>
        <v>11554672.397246856</v>
      </c>
      <c r="AA45" s="240">
        <f>'AB1058'!E43</f>
        <v>1081448.9899999998</v>
      </c>
      <c r="AB45" s="90">
        <f t="shared" si="10"/>
        <v>74891152.575153604</v>
      </c>
      <c r="AC45" s="91">
        <f t="shared" si="11"/>
        <v>2.0521234893258224E-2</v>
      </c>
      <c r="AD45" s="55">
        <f t="shared" si="5"/>
        <v>174979.32844662058</v>
      </c>
    </row>
    <row r="46" spans="1:30" ht="20.100000000000001" customHeight="1" x14ac:dyDescent="0.3">
      <c r="A46" s="65">
        <v>2</v>
      </c>
      <c r="B46" s="66" t="s">
        <v>32</v>
      </c>
      <c r="D46" s="67">
        <f>RAS!M46</f>
        <v>128</v>
      </c>
      <c r="E46" s="67">
        <f>RAS!Q46</f>
        <v>27</v>
      </c>
      <c r="F46" s="68">
        <f t="shared" si="8"/>
        <v>155</v>
      </c>
      <c r="H46" s="71">
        <f>(F46-1)*'AVG RAS salary'!$F$66</f>
        <v>12589563.495117661</v>
      </c>
      <c r="I46" s="71">
        <f>(F46-1)*(VLOOKUP(B46,'FTE Allotment Factor'!$B$6:$D$63,3))</f>
        <v>12784815.153217705</v>
      </c>
      <c r="J46" s="71">
        <f>(F46-1)*(VLOOKUP(B46,'FTE Allotment Factor'!$B$6:$H$63,7))</f>
        <v>12784815.153217705</v>
      </c>
      <c r="K46" s="240">
        <f>VLOOKUP(A46,'CEO Salary'!$G$7:$H$13,2)</f>
        <v>223556.37369018179</v>
      </c>
      <c r="L46" s="240">
        <f t="shared" si="6"/>
        <v>227023.51158251375</v>
      </c>
      <c r="N46" s="85">
        <f>VLOOKUP(B46,BLS!$B$5:$I$64,8, FALSE)</f>
        <v>1.0155090093612671</v>
      </c>
      <c r="O46" s="90">
        <f t="shared" si="7"/>
        <v>13011838.664800219</v>
      </c>
      <c r="Q46" s="87">
        <f>VLOOKUP(B46,'Program 10'!$A$7:$G$64,6)</f>
        <v>0.49802010037871014</v>
      </c>
      <c r="R46" s="8">
        <f>VLOOKUP(B46,'Program 10'!$A$7:$G$64,7)</f>
        <v>18434.413446088773</v>
      </c>
      <c r="S46" s="87">
        <f>VLOOKUP(B46,'Program 90'!$A$7:$G$64,6)</f>
        <v>0.52960351940863815</v>
      </c>
      <c r="T46" s="8">
        <f>VLOOKUP(B46,'Program 90'!$A$7:$G$64,7)</f>
        <v>18357.955294117648</v>
      </c>
      <c r="U46" s="72">
        <f>(D46*VLOOKUP(B46,'FTE Allotment Factor'!$B$7:$H$64,7,FALSE)*Q46)+(D46*R46)</f>
        <v>7651735.768624546</v>
      </c>
      <c r="V46" s="72">
        <f>((((E46-1)*VLOOKUP(B46,'FTE Allotment Factor'!$B$7:$H$64,7,FALSE))+(K46*N46))*S46)+(T46*E46)</f>
        <v>1759033.3514784432</v>
      </c>
      <c r="W46" s="90">
        <f t="shared" si="9"/>
        <v>9410769.1201029886</v>
      </c>
      <c r="Y46" s="90">
        <f>F46*(VLOOKUP(A46, 'OE&amp;E by Cluster'!$B$6:$C$9,2,FALSE))</f>
        <v>4184519.2092833244</v>
      </c>
      <c r="AA46" s="240">
        <f>'AB1058'!E44</f>
        <v>188761.68</v>
      </c>
      <c r="AB46" s="90">
        <f t="shared" si="10"/>
        <v>26418365.314186532</v>
      </c>
      <c r="AC46" s="91">
        <f t="shared" si="11"/>
        <v>7.2390056964911857E-3</v>
      </c>
      <c r="AD46" s="55">
        <f t="shared" si="5"/>
        <v>170441.06654313891</v>
      </c>
    </row>
    <row r="47" spans="1:30" ht="20.100000000000001" customHeight="1" x14ac:dyDescent="0.3">
      <c r="A47" s="65">
        <v>3</v>
      </c>
      <c r="B47" s="66" t="s">
        <v>46</v>
      </c>
      <c r="D47" s="67">
        <f>RAS!M47</f>
        <v>251</v>
      </c>
      <c r="E47" s="67">
        <f>RAS!Q47</f>
        <v>43</v>
      </c>
      <c r="F47" s="68">
        <f t="shared" si="8"/>
        <v>294</v>
      </c>
      <c r="H47" s="71">
        <f>(F47-1)*'AVG RAS salary'!$F$66</f>
        <v>23952870.805645939</v>
      </c>
      <c r="I47" s="71">
        <f>(F47-1)*(VLOOKUP(B47,'FTE Allotment Factor'!$B$6:$D$63,3))</f>
        <v>38109307.766490504</v>
      </c>
      <c r="J47" s="71">
        <f>(F47-1)*(VLOOKUP(B47,'FTE Allotment Factor'!$B$6:$H$63,7))</f>
        <v>38109307.766490504</v>
      </c>
      <c r="K47" s="240">
        <f>VLOOKUP(A47,'CEO Salary'!$G$7:$H$13,2)</f>
        <v>250146.99852715383</v>
      </c>
      <c r="L47" s="240">
        <f t="shared" si="6"/>
        <v>397986.906500082</v>
      </c>
      <c r="N47" s="85">
        <f>VLOOKUP(B47,BLS!$B$5:$I$64,8, FALSE)</f>
        <v>1.5910121202468872</v>
      </c>
      <c r="O47" s="90">
        <f t="shared" si="7"/>
        <v>38507294.672990583</v>
      </c>
      <c r="Q47" s="87">
        <f>VLOOKUP(B47,'Program 10'!$A$7:$G$64,6)</f>
        <v>0.33708475686364414</v>
      </c>
      <c r="R47" s="8">
        <f>VLOOKUP(B47,'Program 10'!$A$7:$G$64,7)</f>
        <v>29131.000000000007</v>
      </c>
      <c r="S47" s="87">
        <f>VLOOKUP(B47,'Program 90'!$A$7:$G$64,6)</f>
        <v>0.33575319767086897</v>
      </c>
      <c r="T47" s="8">
        <f>VLOOKUP(B47,'Program 90'!$A$7:$G$64,7)</f>
        <v>29131</v>
      </c>
      <c r="U47" s="72">
        <f>(D47*VLOOKUP(B47,'FTE Allotment Factor'!$B$7:$H$64,7,FALSE)*Q47)+(D47*R47)</f>
        <v>18316532.032150235</v>
      </c>
      <c r="V47" s="72">
        <f>((((E47-1)*VLOOKUP(B47,'FTE Allotment Factor'!$B$7:$H$64,7,FALSE))+(K47*N47))*S47)+(T47*E47)</f>
        <v>3220400.0885436377</v>
      </c>
      <c r="W47" s="90">
        <f t="shared" si="9"/>
        <v>21536932.120693874</v>
      </c>
      <c r="Y47" s="90">
        <f>F47*(VLOOKUP(A47, 'OE&amp;E by Cluster'!$B$6:$C$9,2,FALSE))</f>
        <v>7937088.0485761119</v>
      </c>
      <c r="AA47" s="240">
        <f>'AB1058'!E45</f>
        <v>676439.80999999994</v>
      </c>
      <c r="AB47" s="90">
        <f t="shared" si="10"/>
        <v>67304875.032260567</v>
      </c>
      <c r="AC47" s="91">
        <f t="shared" si="11"/>
        <v>1.8442487563699737E-2</v>
      </c>
      <c r="AD47" s="55">
        <f t="shared" si="5"/>
        <v>228928.14636823323</v>
      </c>
    </row>
    <row r="48" spans="1:30" ht="20.100000000000001" customHeight="1" x14ac:dyDescent="0.3">
      <c r="A48" s="65">
        <v>3</v>
      </c>
      <c r="B48" s="66" t="s">
        <v>47</v>
      </c>
      <c r="D48" s="67">
        <f>RAS!M48</f>
        <v>184</v>
      </c>
      <c r="E48" s="67">
        <f>RAS!Q48</f>
        <v>32</v>
      </c>
      <c r="F48" s="68">
        <f t="shared" si="8"/>
        <v>216</v>
      </c>
      <c r="H48" s="71">
        <f>(F48-1)*'AVG RAS salary'!$F$66</f>
        <v>17576338.645781148</v>
      </c>
      <c r="I48" s="71">
        <f>(F48-1)*(VLOOKUP(B48,'FTE Allotment Factor'!$B$6:$D$63,3))</f>
        <v>21433788.778436895</v>
      </c>
      <c r="J48" s="71">
        <f>(F48-1)*(VLOOKUP(B48,'FTE Allotment Factor'!$B$6:$H$63,7))</f>
        <v>21433788.778436895</v>
      </c>
      <c r="K48" s="240">
        <f>VLOOKUP(A48,'CEO Salary'!$G$7:$H$13,2)</f>
        <v>250146.99852715383</v>
      </c>
      <c r="L48" s="240">
        <f t="shared" si="6"/>
        <v>305046.34884683025</v>
      </c>
      <c r="N48" s="85">
        <f>VLOOKUP(B48,BLS!$B$5:$I$64,8, FALSE)</f>
        <v>1.219468355178833</v>
      </c>
      <c r="O48" s="90">
        <f t="shared" si="7"/>
        <v>21738835.127283726</v>
      </c>
      <c r="Q48" s="87">
        <f>VLOOKUP(B48,'Program 10'!$A$7:$G$64,6)</f>
        <v>0.4171054260009584</v>
      </c>
      <c r="R48" s="8">
        <f>VLOOKUP(B48,'Program 10'!$A$7:$G$64,7)</f>
        <v>21878.044143613894</v>
      </c>
      <c r="S48" s="87">
        <f>VLOOKUP(B48,'Program 90'!$A$7:$G$64,6)</f>
        <v>0.42310161813826763</v>
      </c>
      <c r="T48" s="8">
        <f>VLOOKUP(B48,'Program 90'!$A$7:$G$64,7)</f>
        <v>22306.382636655948</v>
      </c>
      <c r="U48" s="72">
        <f>(D48*VLOOKUP(B48,'FTE Allotment Factor'!$B$7:$H$64,7,FALSE)*Q48)+(D48*R48)</f>
        <v>11676664.895731863</v>
      </c>
      <c r="V48" s="72">
        <f>((((E48-1)*VLOOKUP(B48,'FTE Allotment Factor'!$B$7:$H$64,7,FALSE))+(K48*N48))*S48)+(T48*E48)</f>
        <v>2150445.6256875121</v>
      </c>
      <c r="W48" s="90">
        <f t="shared" si="9"/>
        <v>13827110.521419374</v>
      </c>
      <c r="Y48" s="90">
        <f>F48*(VLOOKUP(A48, 'OE&amp;E by Cluster'!$B$6:$C$9,2,FALSE))</f>
        <v>5831329.9948722459</v>
      </c>
      <c r="AA48" s="240">
        <f>'AB1058'!E46</f>
        <v>755649.8899999999</v>
      </c>
      <c r="AB48" s="90">
        <f t="shared" si="10"/>
        <v>40641625.75357534</v>
      </c>
      <c r="AC48" s="91">
        <f t="shared" si="11"/>
        <v>1.1136380197862134E-2</v>
      </c>
      <c r="AD48" s="55">
        <f t="shared" si="5"/>
        <v>188155.67478507102</v>
      </c>
    </row>
    <row r="49" spans="1:30" ht="20.100000000000001" customHeight="1" x14ac:dyDescent="0.3">
      <c r="A49" s="65">
        <v>4</v>
      </c>
      <c r="B49" s="66" t="s">
        <v>61</v>
      </c>
      <c r="D49" s="67">
        <f>RAS!M49</f>
        <v>556</v>
      </c>
      <c r="E49" s="67">
        <f>RAS!Q49</f>
        <v>94</v>
      </c>
      <c r="F49" s="68">
        <f t="shared" si="8"/>
        <v>650</v>
      </c>
      <c r="H49" s="71">
        <f>(F49-1)*'AVG RAS salary'!$F$66</f>
        <v>53056017.586567283</v>
      </c>
      <c r="I49" s="71">
        <f>(F49-1)*(VLOOKUP(B49,'FTE Allotment Factor'!$B$6:$D$63,3))</f>
        <v>78032180.772684619</v>
      </c>
      <c r="J49" s="71">
        <f>(F49-1)*(VLOOKUP(B49,'FTE Allotment Factor'!$B$6:$H$63,7))</f>
        <v>78032180.772684619</v>
      </c>
      <c r="K49" s="240">
        <f>VLOOKUP(A49,'CEO Salary'!$G$7:$H$13,2)</f>
        <v>337996.00194199994</v>
      </c>
      <c r="L49" s="240">
        <f t="shared" si="6"/>
        <v>497107.8931989104</v>
      </c>
      <c r="N49" s="85">
        <f>VLOOKUP(B49,BLS!$B$5:$I$64,8, FALSE)</f>
        <v>1.4707508087158203</v>
      </c>
      <c r="O49" s="90">
        <f t="shared" si="7"/>
        <v>78529288.665883526</v>
      </c>
      <c r="Q49" s="87">
        <f>VLOOKUP(B49,'Program 10'!$A$7:$G$64,6)</f>
        <v>0.36698505439713486</v>
      </c>
      <c r="R49" s="8">
        <f>VLOOKUP(B49,'Program 10'!$A$7:$G$64,7)</f>
        <v>26596.337446871472</v>
      </c>
      <c r="S49" s="87">
        <f>VLOOKUP(B49,'Program 90'!$A$7:$G$64,6)</f>
        <v>0.36627681689182956</v>
      </c>
      <c r="T49" s="8">
        <f>VLOOKUP(B49,'Program 90'!$A$7:$G$64,7)</f>
        <v>27380.65172824977</v>
      </c>
      <c r="U49" s="72">
        <f>(D49*VLOOKUP(B49,'FTE Allotment Factor'!$B$7:$H$64,7,FALSE)*Q49)+(D49*R49)</f>
        <v>39320651.636960454</v>
      </c>
      <c r="V49" s="72">
        <f>((((E49-1)*VLOOKUP(B49,'FTE Allotment Factor'!$B$7:$H$64,7,FALSE))+(K49*N49))*S49)+(T49*E49)</f>
        <v>6851497.0731493616</v>
      </c>
      <c r="W49" s="90">
        <f t="shared" si="9"/>
        <v>46172148.710109815</v>
      </c>
      <c r="Y49" s="90">
        <f>F49*(VLOOKUP(A49, 'OE&amp;E by Cluster'!$B$6:$C$9,2,FALSE))</f>
        <v>17547983.780865554</v>
      </c>
      <c r="AA49" s="240">
        <f>'AB1058'!E47</f>
        <v>2115403.42</v>
      </c>
      <c r="AB49" s="90">
        <f t="shared" si="10"/>
        <v>140134017.7368589</v>
      </c>
      <c r="AC49" s="91">
        <f t="shared" si="11"/>
        <v>3.839870259211587E-2</v>
      </c>
      <c r="AD49" s="55">
        <f t="shared" si="5"/>
        <v>215590.79651824446</v>
      </c>
    </row>
    <row r="50" spans="1:30" ht="20.100000000000001" customHeight="1" x14ac:dyDescent="0.3">
      <c r="A50" s="65">
        <v>2</v>
      </c>
      <c r="B50" s="66" t="s">
        <v>33</v>
      </c>
      <c r="D50" s="67">
        <f>RAS!M50</f>
        <v>104</v>
      </c>
      <c r="E50" s="67">
        <f>RAS!Q50</f>
        <v>23</v>
      </c>
      <c r="F50" s="68">
        <f t="shared" si="8"/>
        <v>127</v>
      </c>
      <c r="H50" s="71">
        <f>(F50-1)*'AVG RAS salary'!$F$66</f>
        <v>10300551.950550813</v>
      </c>
      <c r="I50" s="71">
        <f>(F50-1)*(VLOOKUP(B50,'FTE Allotment Factor'!$B$6:$D$63,3))</f>
        <v>11553917.191544095</v>
      </c>
      <c r="J50" s="71">
        <f>(F50-1)*(VLOOKUP(B50,'FTE Allotment Factor'!$B$6:$H$63,7))</f>
        <v>11553917.191544095</v>
      </c>
      <c r="K50" s="240">
        <f>VLOOKUP(A50,'CEO Salary'!$G$7:$H$13,2)</f>
        <v>223556.37369018179</v>
      </c>
      <c r="L50" s="240">
        <f t="shared" si="6"/>
        <v>250758.58474944407</v>
      </c>
      <c r="N50" s="85">
        <f>VLOOKUP(B50,BLS!$B$5:$I$64,8, FALSE)</f>
        <v>1.121679425239563</v>
      </c>
      <c r="O50" s="90">
        <f t="shared" si="7"/>
        <v>11804675.776293539</v>
      </c>
      <c r="Q50" s="87">
        <f>VLOOKUP(B50,'Program 10'!$A$7:$G$64,6)</f>
        <v>0.37795110004063021</v>
      </c>
      <c r="R50" s="8">
        <f>VLOOKUP(B50,'Program 10'!$A$7:$G$64,7)</f>
        <v>24835.496885811197</v>
      </c>
      <c r="S50" s="87">
        <f>VLOOKUP(B50,'Program 90'!$A$7:$G$64,6)</f>
        <v>0.37347122995124532</v>
      </c>
      <c r="T50" s="8">
        <f>VLOOKUP(B50,'Program 90'!$A$7:$G$64,7)</f>
        <v>29656.303984490198</v>
      </c>
      <c r="U50" s="72">
        <f>(D50*VLOOKUP(B50,'FTE Allotment Factor'!$B$7:$H$64,7,FALSE)*Q50)+(D50*R50)</f>
        <v>6187247.5021682829</v>
      </c>
      <c r="V50" s="72">
        <f>((((E50-1)*VLOOKUP(B50,'FTE Allotment Factor'!$B$7:$H$64,7,FALSE))+(K50*N50))*S50)+(T50*E50)</f>
        <v>1529168.5262833231</v>
      </c>
      <c r="W50" s="90">
        <f t="shared" si="9"/>
        <v>7716416.0284516057</v>
      </c>
      <c r="Y50" s="90">
        <f>F50*(VLOOKUP(A50, 'OE&amp;E by Cluster'!$B$6:$C$9,2,FALSE))</f>
        <v>3428606.0617998852</v>
      </c>
      <c r="AA50" s="240">
        <f>'AB1058'!E48</f>
        <v>351012.54</v>
      </c>
      <c r="AB50" s="90">
        <f t="shared" si="10"/>
        <v>22598685.32654503</v>
      </c>
      <c r="AC50" s="91">
        <f t="shared" si="11"/>
        <v>6.192359363136792E-3</v>
      </c>
      <c r="AD50" s="55">
        <f t="shared" si="5"/>
        <v>177942.40414602385</v>
      </c>
    </row>
    <row r="51" spans="1:30" ht="20.100000000000001" customHeight="1" x14ac:dyDescent="0.3">
      <c r="A51" s="65">
        <v>2</v>
      </c>
      <c r="B51" s="66" t="s">
        <v>34</v>
      </c>
      <c r="D51" s="67">
        <f>RAS!M51</f>
        <v>139</v>
      </c>
      <c r="E51" s="67">
        <f>RAS!Q51</f>
        <v>36</v>
      </c>
      <c r="F51" s="68">
        <f t="shared" si="8"/>
        <v>175</v>
      </c>
      <c r="H51" s="71">
        <f>(F51-1)*'AVG RAS salary'!$F$66</f>
        <v>14224571.741236836</v>
      </c>
      <c r="I51" s="71">
        <f>(F51-1)*(VLOOKUP(B51,'FTE Allotment Factor'!$B$6:$D$63,3))</f>
        <v>13376035.284426868</v>
      </c>
      <c r="J51" s="71">
        <f>(F51-1)*(VLOOKUP(B51,'FTE Allotment Factor'!$B$6:$H$63,7))</f>
        <v>13376035.284426868</v>
      </c>
      <c r="K51" s="240">
        <f>VLOOKUP(A51,'CEO Salary'!$G$7:$H$13,2)</f>
        <v>223556.37369018179</v>
      </c>
      <c r="L51" s="240">
        <f t="shared" si="6"/>
        <v>210220.59552552699</v>
      </c>
      <c r="N51" s="85">
        <f>VLOOKUP(B51,BLS!$B$5:$I$64,8, FALSE)</f>
        <v>0.94034713506698608</v>
      </c>
      <c r="O51" s="90">
        <f t="shared" si="7"/>
        <v>13586255.879952395</v>
      </c>
      <c r="Q51" s="87">
        <f>VLOOKUP(B51,'Program 10'!$A$7:$G$64,6)</f>
        <v>0.166774385819287</v>
      </c>
      <c r="R51" s="8">
        <f>VLOOKUP(B51,'Program 10'!$A$7:$G$64,7)</f>
        <v>26835.550724637687</v>
      </c>
      <c r="S51" s="87">
        <f>VLOOKUP(B51,'Program 90'!$A$7:$G$64,6)</f>
        <v>0.16469153826644237</v>
      </c>
      <c r="T51" s="8">
        <f>VLOOKUP(B51,'Program 90'!$A$7:$G$64,7)</f>
        <v>29940.80222841226</v>
      </c>
      <c r="U51" s="72">
        <f>(D51*VLOOKUP(B51,'FTE Allotment Factor'!$B$7:$H$64,7,FALSE)*Q51)+(D51*R51)</f>
        <v>5512201.4911084259</v>
      </c>
      <c r="V51" s="72">
        <f>((((E51-1)*VLOOKUP(B51,'FTE Allotment Factor'!$B$7:$H$64,7,FALSE))+(K51*N51))*S51)+(T51*E51)</f>
        <v>1555606.4906099779</v>
      </c>
      <c r="W51" s="90">
        <f t="shared" si="9"/>
        <v>7067807.9817184042</v>
      </c>
      <c r="Y51" s="90">
        <f>F51*(VLOOKUP(A51, 'OE&amp;E by Cluster'!$B$6:$C$9,2,FALSE))</f>
        <v>4724457.1717714956</v>
      </c>
      <c r="AA51" s="240">
        <f>'AB1058'!E49</f>
        <v>577976.5</v>
      </c>
      <c r="AB51" s="90">
        <f t="shared" si="10"/>
        <v>24800544.533442296</v>
      </c>
      <c r="AC51" s="91">
        <f t="shared" si="11"/>
        <v>6.7956999238429298E-3</v>
      </c>
      <c r="AD51" s="55">
        <f t="shared" si="5"/>
        <v>141717.39733395597</v>
      </c>
    </row>
    <row r="52" spans="1:30" ht="20.100000000000001" customHeight="1" x14ac:dyDescent="0.3">
      <c r="A52" s="65">
        <v>1</v>
      </c>
      <c r="B52" s="66" t="s">
        <v>17</v>
      </c>
      <c r="D52" s="67">
        <f>RAS!M52</f>
        <v>2</v>
      </c>
      <c r="E52" s="67">
        <f>RAS!Q52</f>
        <v>2</v>
      </c>
      <c r="F52" s="68">
        <f t="shared" si="8"/>
        <v>4</v>
      </c>
      <c r="H52" s="71">
        <f>(F52-1)*'AVG RAS salary'!$F$66</f>
        <v>245251.23691787649</v>
      </c>
      <c r="I52" s="71">
        <f>(F52-1)*(VLOOKUP(B52,'FTE Allotment Factor'!$B$6:$D$63,3))</f>
        <v>170995.1851118076</v>
      </c>
      <c r="J52" s="71">
        <f>(F52-1)*(VLOOKUP(B52,'FTE Allotment Factor'!$B$6:$H$63,7))</f>
        <v>186943.15154998226</v>
      </c>
      <c r="K52" s="240">
        <f>VLOOKUP(A52,'CEO Salary'!$G$7:$H$13,2)</f>
        <v>159403.30333333334</v>
      </c>
      <c r="L52" s="240">
        <f>IF(N52&lt;&gt;0,N52*K52,K52)</f>
        <v>111139.89761464139</v>
      </c>
      <c r="N52" s="85">
        <f>VLOOKUP(B52,BLS!$B$5:$I$64,8, FALSE)</f>
        <v>0.69722455739974976</v>
      </c>
      <c r="O52" s="90">
        <f t="shared" si="7"/>
        <v>298083.04916462366</v>
      </c>
      <c r="Q52" s="87">
        <f>VLOOKUP(B52,'Program 10'!$A$7:$G$64,6)</f>
        <v>0.29697051714251571</v>
      </c>
      <c r="R52" s="8">
        <f>VLOOKUP(B52,'Program 10'!$A$7:$G$64,7)</f>
        <v>39601.842857142859</v>
      </c>
      <c r="S52" s="87">
        <f>VLOOKUP(B52,'Program 90'!$A$7:$G$64,6)</f>
        <v>0.29699690631840053</v>
      </c>
      <c r="T52" s="8">
        <f>VLOOKUP(B52,'Program 90'!$A$7:$G$64,7)</f>
        <v>39572.837931034483</v>
      </c>
      <c r="U52" s="72">
        <f>(D52*VLOOKUP(B52,'FTE Allotment Factor'!$B$7:$H$64,7,FALSE)*Q52)+(D52*R52)</f>
        <v>116214.75530898565</v>
      </c>
      <c r="V52" s="72">
        <f>((((E52-1)*VLOOKUP(B52,'FTE Allotment Factor'!$B$7:$H$64,7,FALSE))+(K52*N52))*S52)+(T52*E52)</f>
        <v>130661.0608447468</v>
      </c>
      <c r="W52" s="90">
        <f t="shared" si="9"/>
        <v>246875.81615373245</v>
      </c>
      <c r="Y52" s="90">
        <f>F52*(VLOOKUP(A52, 'OE&amp;E by Cluster'!$B$6:$C$9,2,FALSE))</f>
        <v>166106.99946242725</v>
      </c>
      <c r="AA52" s="240">
        <f>'AB1058'!E50</f>
        <v>0</v>
      </c>
      <c r="AB52" s="90">
        <f t="shared" si="10"/>
        <v>711065.8647807833</v>
      </c>
      <c r="AC52" s="91">
        <f t="shared" si="11"/>
        <v>1.948421026248883E-4</v>
      </c>
      <c r="AD52" s="55">
        <f t="shared" si="5"/>
        <v>177766.46619519583</v>
      </c>
    </row>
    <row r="53" spans="1:30" ht="20.100000000000001" customHeight="1" x14ac:dyDescent="0.3">
      <c r="A53" s="65">
        <v>2</v>
      </c>
      <c r="B53" s="66" t="s">
        <v>35</v>
      </c>
      <c r="D53" s="67">
        <f>RAS!M53</f>
        <v>36</v>
      </c>
      <c r="E53" s="67">
        <f>RAS!Q53</f>
        <v>8</v>
      </c>
      <c r="F53" s="68">
        <f t="shared" si="8"/>
        <v>44</v>
      </c>
      <c r="H53" s="71">
        <f>(F53-1)*'AVG RAS salary'!$F$66</f>
        <v>3515267.7291562296</v>
      </c>
      <c r="I53" s="71">
        <f>(F53-1)*(VLOOKUP(B53,'FTE Allotment Factor'!$B$6:$D$63,3))</f>
        <v>2448623.0545811574</v>
      </c>
      <c r="J53" s="71">
        <f>(F53-1)*(VLOOKUP(B53,'FTE Allotment Factor'!$B$6:$H$63,7))</f>
        <v>2679518.5055497456</v>
      </c>
      <c r="K53" s="240">
        <f>VLOOKUP(A53,'CEO Salary'!$G$7:$H$13,2)</f>
        <v>223556.37369018179</v>
      </c>
      <c r="L53" s="240">
        <f>IF(N53&lt;&gt;0,N53*K53,K53)</f>
        <v>155722.21884440459</v>
      </c>
      <c r="N53" s="85">
        <f>VLOOKUP(B53,BLS!$B$5:$I$64,8, FALSE)</f>
        <v>0.69656801223754883</v>
      </c>
      <c r="O53" s="90">
        <f t="shared" si="7"/>
        <v>2835240.7243941501</v>
      </c>
      <c r="Q53" s="87">
        <f>VLOOKUP(B53,'Program 10'!$A$7:$G$64,6)</f>
        <v>0.45324000000000025</v>
      </c>
      <c r="R53" s="8">
        <f>VLOOKUP(B53,'Program 10'!$A$7:$G$64,7)</f>
        <v>29431.245107398565</v>
      </c>
      <c r="S53" s="87">
        <f>VLOOKUP(B53,'Program 90'!$A$7:$G$64,6)</f>
        <v>0.45323999999999998</v>
      </c>
      <c r="T53" s="8">
        <f>VLOOKUP(B53,'Program 90'!$A$7:$G$64,7)</f>
        <v>32282.3</v>
      </c>
      <c r="U53" s="72">
        <f>(D53*VLOOKUP(B53,'FTE Allotment Factor'!$B$7:$H$64,7,FALSE)*Q53)+(D53*R53)</f>
        <v>2076286.1919685164</v>
      </c>
      <c r="V53" s="72">
        <f>((((E53-1)*VLOOKUP(B53,'FTE Allotment Factor'!$B$7:$H$64,7,FALSE))+(K53*N53))*S53)+(T53*E53)</f>
        <v>526541.53782223712</v>
      </c>
      <c r="W53" s="90">
        <f t="shared" si="9"/>
        <v>2602827.7297907537</v>
      </c>
      <c r="Y53" s="90">
        <f>F53*(VLOOKUP(A53, 'OE&amp;E by Cluster'!$B$6:$C$9,2,FALSE))</f>
        <v>1187863.5174739759</v>
      </c>
      <c r="AA53" s="240">
        <f>'AB1058'!E51</f>
        <v>159573.75</v>
      </c>
      <c r="AB53" s="90">
        <f t="shared" si="10"/>
        <v>6466358.2216588799</v>
      </c>
      <c r="AC53" s="91">
        <f t="shared" si="11"/>
        <v>1.7718735979854326E-3</v>
      </c>
      <c r="AD53" s="55">
        <f t="shared" si="5"/>
        <v>146962.68685588363</v>
      </c>
    </row>
    <row r="54" spans="1:30" ht="20.100000000000001" customHeight="1" x14ac:dyDescent="0.3">
      <c r="A54" s="65">
        <v>3</v>
      </c>
      <c r="B54" s="66" t="s">
        <v>48</v>
      </c>
      <c r="D54" s="67">
        <f>RAS!M54</f>
        <v>182</v>
      </c>
      <c r="E54" s="67">
        <f>RAS!Q54</f>
        <v>31</v>
      </c>
      <c r="F54" s="68">
        <f t="shared" si="8"/>
        <v>213</v>
      </c>
      <c r="H54" s="71">
        <f>(F54-1)*'AVG RAS salary'!$F$66</f>
        <v>17331087.408863273</v>
      </c>
      <c r="I54" s="71">
        <f>(F54-1)*(VLOOKUP(B54,'FTE Allotment Factor'!$B$6:$D$63,3))</f>
        <v>20516026.523254268</v>
      </c>
      <c r="J54" s="71">
        <f>(F54-1)*(VLOOKUP(B54,'FTE Allotment Factor'!$B$6:$H$63,7))</f>
        <v>20516026.523254268</v>
      </c>
      <c r="K54" s="240">
        <f>VLOOKUP(A54,'CEO Salary'!$G$7:$H$13,2)</f>
        <v>250146.99852715383</v>
      </c>
      <c r="L54" s="240">
        <f t="shared" ref="L54:L58" si="12">IF(N54&lt;&gt;0,N54*K54,K54)</f>
        <v>296116.58722989145</v>
      </c>
      <c r="N54" s="85">
        <f>VLOOKUP(B54,BLS!$B$5:$I$64,8, FALSE)</f>
        <v>1.1837702989578247</v>
      </c>
      <c r="O54" s="90">
        <f t="shared" si="7"/>
        <v>20812143.11048416</v>
      </c>
      <c r="Q54" s="87">
        <f>VLOOKUP(B54,'Program 10'!$A$7:$G$64,6)</f>
        <v>0.54947992450976735</v>
      </c>
      <c r="R54" s="8">
        <f>VLOOKUP(B54,'Program 10'!$A$7:$G$64,7)</f>
        <v>22650.411535330069</v>
      </c>
      <c r="S54" s="87">
        <f>VLOOKUP(B54,'Program 90'!$A$7:$G$64,6)</f>
        <v>0.54938802855049218</v>
      </c>
      <c r="T54" s="8">
        <f>VLOOKUP(B54,'Program 90'!$A$7:$G$64,7)</f>
        <v>24226.314737945489</v>
      </c>
      <c r="U54" s="72">
        <f>(D54*VLOOKUP(B54,'FTE Allotment Factor'!$B$7:$H$64,7,FALSE)*Q54)+(D54*R54)</f>
        <v>13800263.278455269</v>
      </c>
      <c r="V54" s="72">
        <f>((((E54-1)*VLOOKUP(B54,'FTE Allotment Factor'!$B$7:$H$64,7,FALSE))+(K54*N54))*S54)+(T54*E54)</f>
        <v>2508688.1977811498</v>
      </c>
      <c r="W54" s="90">
        <f t="shared" si="9"/>
        <v>16308951.476236418</v>
      </c>
      <c r="Y54" s="90">
        <f>F54*(VLOOKUP(A54, 'OE&amp;E by Cluster'!$B$6:$C$9,2,FALSE))</f>
        <v>5750339.3004990201</v>
      </c>
      <c r="AA54" s="240">
        <f>'AB1058'!E52</f>
        <v>767624.59</v>
      </c>
      <c r="AB54" s="90">
        <f t="shared" si="10"/>
        <v>42103809.297219597</v>
      </c>
      <c r="AC54" s="91">
        <f t="shared" si="11"/>
        <v>1.1537039166571015E-2</v>
      </c>
      <c r="AD54" s="55">
        <f t="shared" si="5"/>
        <v>197670.46618412956</v>
      </c>
    </row>
    <row r="55" spans="1:30" ht="20.100000000000001" customHeight="1" x14ac:dyDescent="0.3">
      <c r="A55" s="65">
        <v>3</v>
      </c>
      <c r="B55" s="66" t="s">
        <v>49</v>
      </c>
      <c r="D55" s="67">
        <f>RAS!M55</f>
        <v>185</v>
      </c>
      <c r="E55" s="67">
        <f>RAS!Q55</f>
        <v>31</v>
      </c>
      <c r="F55" s="68">
        <f t="shared" si="8"/>
        <v>216</v>
      </c>
      <c r="H55" s="71">
        <f>(F55-1)*'AVG RAS salary'!$F$66</f>
        <v>17576338.645781148</v>
      </c>
      <c r="I55" s="71">
        <f>(F55-1)*(VLOOKUP(B55,'FTE Allotment Factor'!$B$6:$D$63,3))</f>
        <v>21162992.818099011</v>
      </c>
      <c r="J55" s="71">
        <f>(F55-1)*(VLOOKUP(B55,'FTE Allotment Factor'!$B$6:$H$63,7))</f>
        <v>21162992.818099011</v>
      </c>
      <c r="K55" s="240">
        <f>VLOOKUP(A55,'CEO Salary'!$G$7:$H$13,2)</f>
        <v>250146.99852715383</v>
      </c>
      <c r="L55" s="240">
        <f t="shared" si="12"/>
        <v>301192.37231298262</v>
      </c>
      <c r="N55" s="85">
        <f>VLOOKUP(B55,BLS!$B$5:$I$64,8, FALSE)</f>
        <v>1.2040615081787109</v>
      </c>
      <c r="O55" s="90">
        <f t="shared" si="7"/>
        <v>21464185.190411992</v>
      </c>
      <c r="Q55" s="87">
        <f>VLOOKUP(B55,'Program 10'!$A$7:$G$64,6)</f>
        <v>0.40839070602652622</v>
      </c>
      <c r="R55" s="8">
        <f>VLOOKUP(B55,'Program 10'!$A$7:$G$64,7)</f>
        <v>25096.448210739924</v>
      </c>
      <c r="S55" s="87">
        <f>VLOOKUP(B55,'Program 90'!$A$7:$G$64,6)</f>
        <v>0.4100346731182829</v>
      </c>
      <c r="T55" s="8">
        <f>VLOOKUP(B55,'Program 90'!$A$7:$G$64,7)</f>
        <v>28375.852558139537</v>
      </c>
      <c r="U55" s="72">
        <f>(D55*VLOOKUP(B55,'FTE Allotment Factor'!$B$7:$H$64,7,FALSE)*Q55)+(D55*R55)</f>
        <v>12079644.649425423</v>
      </c>
      <c r="V55" s="72">
        <f>((((E55-1)*VLOOKUP(B55,'FTE Allotment Factor'!$B$7:$H$64,7,FALSE))+(K55*N55))*S55)+(T55*E55)</f>
        <v>2213973.1883513248</v>
      </c>
      <c r="W55" s="90">
        <f t="shared" si="9"/>
        <v>14293617.837776747</v>
      </c>
      <c r="Y55" s="90">
        <f>F55*(VLOOKUP(A55, 'OE&amp;E by Cluster'!$B$6:$C$9,2,FALSE))</f>
        <v>5831329.9948722459</v>
      </c>
      <c r="AA55" s="240">
        <f>'AB1058'!E53</f>
        <v>319759.48</v>
      </c>
      <c r="AB55" s="90">
        <f t="shared" si="10"/>
        <v>41269373.543060981</v>
      </c>
      <c r="AC55" s="91">
        <f t="shared" si="11"/>
        <v>1.1308391969597535E-2</v>
      </c>
      <c r="AD55" s="55">
        <f t="shared" si="5"/>
        <v>191061.91455120823</v>
      </c>
    </row>
    <row r="56" spans="1:30" ht="20.100000000000001" customHeight="1" x14ac:dyDescent="0.3">
      <c r="A56" s="65">
        <v>3</v>
      </c>
      <c r="B56" s="66" t="s">
        <v>50</v>
      </c>
      <c r="D56" s="67">
        <f>RAS!M56</f>
        <v>291</v>
      </c>
      <c r="E56" s="67">
        <f>RAS!Q56</f>
        <v>48</v>
      </c>
      <c r="F56" s="68">
        <f t="shared" si="8"/>
        <v>339</v>
      </c>
      <c r="H56" s="71">
        <f>(F56-1)*'AVG RAS salary'!$F$66</f>
        <v>27631639.359414086</v>
      </c>
      <c r="I56" s="71">
        <f>(F56-1)*(VLOOKUP(B56,'FTE Allotment Factor'!$B$6:$D$63,3))</f>
        <v>28545877.947728705</v>
      </c>
      <c r="J56" s="71">
        <f>(F56-1)*(VLOOKUP(B56,'FTE Allotment Factor'!$B$6:$H$63,7))</f>
        <v>28545877.947728705</v>
      </c>
      <c r="K56" s="240">
        <f>VLOOKUP(A56,'CEO Salary'!$G$7:$H$13,2)</f>
        <v>250146.99852715383</v>
      </c>
      <c r="L56" s="240">
        <f t="shared" si="12"/>
        <v>258423.52659810553</v>
      </c>
      <c r="N56" s="85">
        <f>VLOOKUP(B56,BLS!$B$5:$I$64,8, FALSE)</f>
        <v>1.0330866575241089</v>
      </c>
      <c r="O56" s="90">
        <f t="shared" si="7"/>
        <v>28804301.474326812</v>
      </c>
      <c r="Q56" s="87">
        <f>VLOOKUP(B56,'Program 10'!$A$7:$G$64,6)</f>
        <v>0.37778042773123677</v>
      </c>
      <c r="R56" s="8">
        <f>VLOOKUP(B56,'Program 10'!$A$7:$G$64,7)</f>
        <v>22647.355492599283</v>
      </c>
      <c r="S56" s="87">
        <f>VLOOKUP(B56,'Program 90'!$A$7:$G$64,6)</f>
        <v>0.38633744162603773</v>
      </c>
      <c r="T56" s="8">
        <f>VLOOKUP(B56,'Program 90'!$A$7:$G$64,7)</f>
        <v>25929.40232009043</v>
      </c>
      <c r="U56" s="72">
        <f>(D56*VLOOKUP(B56,'FTE Allotment Factor'!$B$7:$H$64,7,FALSE)*Q56)+(D56*R56)</f>
        <v>15874893.846238341</v>
      </c>
      <c r="V56" s="72">
        <f>((((E56-1)*VLOOKUP(B56,'FTE Allotment Factor'!$B$7:$H$64,7,FALSE))+(K56*N56))*S56)+(T56*E56)</f>
        <v>2877976.7658970235</v>
      </c>
      <c r="W56" s="90">
        <f t="shared" si="9"/>
        <v>18752870.612135366</v>
      </c>
      <c r="Y56" s="90">
        <f>F56*(VLOOKUP(A56, 'OE&amp;E by Cluster'!$B$6:$C$9,2,FALSE))</f>
        <v>9151948.464174496</v>
      </c>
      <c r="AA56" s="240">
        <f>'AB1058'!E54</f>
        <v>1118324.06</v>
      </c>
      <c r="AB56" s="90">
        <f t="shared" si="10"/>
        <v>55590796.490636669</v>
      </c>
      <c r="AC56" s="91">
        <f t="shared" si="11"/>
        <v>1.5232664386395716E-2</v>
      </c>
      <c r="AD56" s="55">
        <f t="shared" si="5"/>
        <v>163984.65041485743</v>
      </c>
    </row>
    <row r="57" spans="1:30" ht="20.100000000000001" customHeight="1" x14ac:dyDescent="0.3">
      <c r="A57" s="65">
        <v>2</v>
      </c>
      <c r="B57" s="66" t="s">
        <v>36</v>
      </c>
      <c r="D57" s="67">
        <f>RAS!M57</f>
        <v>62</v>
      </c>
      <c r="E57" s="67">
        <f>RAS!Q57</f>
        <v>14</v>
      </c>
      <c r="F57" s="68">
        <f t="shared" si="8"/>
        <v>76</v>
      </c>
      <c r="H57" s="71">
        <f>(F57-1)*'AVG RAS salary'!$F$66</f>
        <v>6131280.9229469122</v>
      </c>
      <c r="I57" s="71">
        <f>(F57-1)*(VLOOKUP(B57,'FTE Allotment Factor'!$B$6:$D$63,3))</f>
        <v>5810667.7008947544</v>
      </c>
      <c r="J57" s="71">
        <f>(F57-1)*(VLOOKUP(B57,'FTE Allotment Factor'!$B$6:$H$63,7))</f>
        <v>5810667.7008947544</v>
      </c>
      <c r="K57" s="240">
        <f>VLOOKUP(A57,'CEO Salary'!$G$7:$H$13,2)</f>
        <v>223556.37369018179</v>
      </c>
      <c r="L57" s="240">
        <f t="shared" si="12"/>
        <v>211866.29943329131</v>
      </c>
      <c r="N57" s="85">
        <f>VLOOKUP(B57,BLS!$B$5:$I$64,8, FALSE)</f>
        <v>0.9477086067199707</v>
      </c>
      <c r="O57" s="90">
        <f t="shared" si="7"/>
        <v>6022534.0003280453</v>
      </c>
      <c r="Q57" s="87">
        <f>VLOOKUP(B57,'Program 10'!$A$7:$G$64,6)</f>
        <v>0.40897795441231066</v>
      </c>
      <c r="R57" s="8">
        <f>VLOOKUP(B57,'Program 10'!$A$7:$G$64,7)</f>
        <v>29446.893870967753</v>
      </c>
      <c r="S57" s="87">
        <f>VLOOKUP(B57,'Program 90'!$A$7:$G$64,6)</f>
        <v>0.42397348761740167</v>
      </c>
      <c r="T57" s="8">
        <f>VLOOKUP(B57,'Program 90'!$A$7:$G$64,7)</f>
        <v>30689.294999999998</v>
      </c>
      <c r="U57" s="72">
        <f>(D57*VLOOKUP(B57,'FTE Allotment Factor'!$B$7:$H$64,7,FALSE)*Q57)+(D57*R57)</f>
        <v>3790227.011800807</v>
      </c>
      <c r="V57" s="72">
        <f>((((E57-1)*VLOOKUP(B57,'FTE Allotment Factor'!$B$7:$H$64,7,FALSE))+(K57*N57))*S57)+(T57*E57)</f>
        <v>946494.4593052424</v>
      </c>
      <c r="W57" s="90">
        <f t="shared" si="9"/>
        <v>4736721.4711060496</v>
      </c>
      <c r="Y57" s="90">
        <f>F57*(VLOOKUP(A57, 'OE&amp;E by Cluster'!$B$6:$C$9,2,FALSE))</f>
        <v>2051764.2574550493</v>
      </c>
      <c r="AA57" s="240">
        <f>'AB1058'!E55</f>
        <v>274424.99</v>
      </c>
      <c r="AB57" s="90">
        <f t="shared" si="10"/>
        <v>12536594.738889143</v>
      </c>
      <c r="AC57" s="91">
        <f t="shared" si="11"/>
        <v>3.4352042471260057E-3</v>
      </c>
      <c r="AD57" s="55">
        <f t="shared" si="5"/>
        <v>164955.19393275189</v>
      </c>
    </row>
    <row r="58" spans="1:30" ht="20.100000000000001" customHeight="1" x14ac:dyDescent="0.3">
      <c r="A58" s="65">
        <v>2</v>
      </c>
      <c r="B58" s="66" t="s">
        <v>37</v>
      </c>
      <c r="D58" s="67">
        <f>RAS!M58</f>
        <v>50</v>
      </c>
      <c r="E58" s="67">
        <f>RAS!Q58</f>
        <v>11</v>
      </c>
      <c r="F58" s="68">
        <f t="shared" si="8"/>
        <v>61</v>
      </c>
      <c r="H58" s="71">
        <f>(F58-1)*'AVG RAS salary'!$F$66</f>
        <v>4905024.73835753</v>
      </c>
      <c r="I58" s="71">
        <f>(F58-1)*(VLOOKUP(B58,'FTE Allotment Factor'!$B$6:$D$63,3))</f>
        <v>3858454.6893712939</v>
      </c>
      <c r="J58" s="71">
        <f>(F58-1)*(VLOOKUP(B58,'FTE Allotment Factor'!$B$6:$H$63,7))</f>
        <v>3858454.6893712939</v>
      </c>
      <c r="K58" s="240">
        <f>VLOOKUP(A58,'CEO Salary'!$G$7:$H$13,2)</f>
        <v>223556.37369018179</v>
      </c>
      <c r="L58" s="240">
        <f t="shared" si="12"/>
        <v>175856.83751160098</v>
      </c>
      <c r="N58" s="85">
        <f>VLOOKUP(B58,BLS!$B$5:$I$64,8, FALSE)</f>
        <v>0.78663307428359985</v>
      </c>
      <c r="O58" s="90">
        <f t="shared" si="7"/>
        <v>4034311.5268828948</v>
      </c>
      <c r="Q58" s="87">
        <f>VLOOKUP(B58,'Program 10'!$A$7:$G$64,6)</f>
        <v>0.38098603004738979</v>
      </c>
      <c r="R58" s="8">
        <f>VLOOKUP(B58,'Program 10'!$A$7:$G$64,7)</f>
        <v>25248.323328197228</v>
      </c>
      <c r="S58" s="87">
        <f>VLOOKUP(B58,'Program 90'!$A$7:$G$64,6)</f>
        <v>0.39359999999999989</v>
      </c>
      <c r="T58" s="8">
        <f>VLOOKUP(B58,'Program 90'!$A$7:$G$64,7)</f>
        <v>28640.16</v>
      </c>
      <c r="U58" s="72">
        <f>(D58*VLOOKUP(B58,'FTE Allotment Factor'!$B$7:$H$64,7,FALSE)*Q58)+(D58*R58)</f>
        <v>2487430.6115942812</v>
      </c>
      <c r="V58" s="72">
        <f>((((E58-1)*VLOOKUP(B58,'FTE Allotment Factor'!$B$7:$H$64,7,FALSE))+(K58*N58))*S58)+(T58*E58)</f>
        <v>637373.63886732305</v>
      </c>
      <c r="W58" s="90">
        <f t="shared" si="9"/>
        <v>3124804.2504616044</v>
      </c>
      <c r="Y58" s="90">
        <f>F58*(VLOOKUP(A58, 'OE&amp;E by Cluster'!$B$6:$C$9,2,FALSE))</f>
        <v>1646810.7855889213</v>
      </c>
      <c r="AA58" s="240">
        <f>'AB1058'!E56</f>
        <v>152315.07999999999</v>
      </c>
      <c r="AB58" s="90">
        <f t="shared" si="10"/>
        <v>8653611.4829334207</v>
      </c>
      <c r="AC58" s="91">
        <f t="shared" si="11"/>
        <v>2.3712119230381483E-3</v>
      </c>
      <c r="AD58" s="55">
        <f t="shared" si="5"/>
        <v>141862.48332677738</v>
      </c>
    </row>
    <row r="59" spans="1:30" ht="20.100000000000001" customHeight="1" x14ac:dyDescent="0.3">
      <c r="A59" s="65">
        <v>1</v>
      </c>
      <c r="B59" s="66" t="s">
        <v>18</v>
      </c>
      <c r="D59" s="67">
        <f>RAS!M59</f>
        <v>12</v>
      </c>
      <c r="E59" s="67">
        <f>RAS!Q59</f>
        <v>5</v>
      </c>
      <c r="F59" s="68">
        <f t="shared" si="8"/>
        <v>17</v>
      </c>
      <c r="H59" s="71">
        <f>(F59-1)*'AVG RAS salary'!$F$66</f>
        <v>1308006.5968953413</v>
      </c>
      <c r="I59" s="71">
        <f>(F59-1)*(VLOOKUP(B59,'FTE Allotment Factor'!$B$6:$D$63,3))</f>
        <v>997030.14159990533</v>
      </c>
      <c r="J59" s="71">
        <f>(F59-1)*(VLOOKUP(B59,'FTE Allotment Factor'!$B$6:$H$63,7))</f>
        <v>997030.14159990533</v>
      </c>
      <c r="K59" s="240">
        <f>VLOOKUP(A59,'CEO Salary'!$G$7:$H$13,2)</f>
        <v>159403.30333333334</v>
      </c>
      <c r="L59" s="240">
        <f>IF(N59&lt;&gt;0,N59*K59,K59)</f>
        <v>121505.4254857421</v>
      </c>
      <c r="N59" s="85">
        <f>VLOOKUP(B59,BLS!$B$5:$I$64,8, FALSE)</f>
        <v>0.76225161552429199</v>
      </c>
      <c r="O59" s="90">
        <f t="shared" si="7"/>
        <v>1118535.5670856475</v>
      </c>
      <c r="Q59" s="87">
        <f>VLOOKUP(B59,'Program 10'!$A$7:$G$64,6)</f>
        <v>0.45665878841489826</v>
      </c>
      <c r="R59" s="8">
        <f>VLOOKUP(B59,'Program 10'!$A$7:$G$64,7)</f>
        <v>11378.418371097467</v>
      </c>
      <c r="S59" s="87">
        <f>VLOOKUP(B59,'Program 90'!$A$7:$G$64,6)</f>
        <v>0.2344955881409343</v>
      </c>
      <c r="T59" s="8">
        <f>VLOOKUP(B59,'Program 90'!$A$7:$G$64,7)</f>
        <v>7712.4373803140579</v>
      </c>
      <c r="U59" s="72">
        <f>(D59*VLOOKUP(B59,'FTE Allotment Factor'!$B$7:$H$64,7,FALSE)*Q59)+(D59*R59)</f>
        <v>478017.95281028003</v>
      </c>
      <c r="V59" s="72">
        <f>((((E59-1)*VLOOKUP(B59,'FTE Allotment Factor'!$B$7:$H$64,7,FALSE))+(K59*N59))*S59)+(T59*E59)</f>
        <v>125504.46547534107</v>
      </c>
      <c r="W59" s="90">
        <f t="shared" si="9"/>
        <v>603522.4182856211</v>
      </c>
      <c r="Y59" s="90">
        <f>F59*(VLOOKUP(A59, 'OE&amp;E by Cluster'!$B$6:$C$9,2,FALSE))</f>
        <v>705954.74771531578</v>
      </c>
      <c r="AA59" s="240">
        <f>'AB1058'!E57</f>
        <v>0</v>
      </c>
      <c r="AB59" s="90">
        <f t="shared" si="10"/>
        <v>2428012.7330865841</v>
      </c>
      <c r="AC59" s="91">
        <f t="shared" si="11"/>
        <v>6.6530982507568236E-4</v>
      </c>
      <c r="AD59" s="55">
        <f t="shared" si="5"/>
        <v>142824.27841685788</v>
      </c>
    </row>
    <row r="60" spans="1:30" ht="20.100000000000001" customHeight="1" x14ac:dyDescent="0.3">
      <c r="A60" s="65">
        <v>3</v>
      </c>
      <c r="B60" s="66" t="s">
        <v>51</v>
      </c>
      <c r="D60" s="67">
        <f>RAS!M60</f>
        <v>260</v>
      </c>
      <c r="E60" s="67">
        <f>RAS!Q60</f>
        <v>44</v>
      </c>
      <c r="F60" s="68">
        <f t="shared" si="8"/>
        <v>304</v>
      </c>
      <c r="H60" s="71">
        <f>(F60-1)*'AVG RAS salary'!$F$66</f>
        <v>24770374.928705525</v>
      </c>
      <c r="I60" s="71">
        <f>(F60-1)*(VLOOKUP(B60,'FTE Allotment Factor'!$B$6:$D$63,3))</f>
        <v>23574573.41877345</v>
      </c>
      <c r="J60" s="71">
        <f>(F60-1)*(VLOOKUP(B60,'FTE Allotment Factor'!$B$6:$H$63,7))</f>
        <v>23574573.41877345</v>
      </c>
      <c r="K60" s="240">
        <f>VLOOKUP(A60,'CEO Salary'!$G$7:$H$13,2)</f>
        <v>250146.99852715383</v>
      </c>
      <c r="L60" s="240">
        <f t="shared" ref="L60:L64" si="13">IF(N60&lt;&gt;0,N60*K60,K60)</f>
        <v>238071.03442064769</v>
      </c>
      <c r="N60" s="85">
        <f>VLOOKUP(B60,BLS!$B$5:$I$64,8, FALSE)</f>
        <v>0.95172452926635742</v>
      </c>
      <c r="O60" s="90">
        <f t="shared" si="7"/>
        <v>23812644.453194097</v>
      </c>
      <c r="Q60" s="87">
        <f>VLOOKUP(B60,'Program 10'!$A$7:$G$64,6)</f>
        <v>0.30136601977033289</v>
      </c>
      <c r="R60" s="8">
        <f>VLOOKUP(B60,'Program 10'!$A$7:$G$64,7)</f>
        <v>36778.987093023366</v>
      </c>
      <c r="S60" s="87">
        <f>VLOOKUP(B60,'Program 90'!$A$7:$G$64,6)</f>
        <v>0.30523359354742069</v>
      </c>
      <c r="T60" s="8">
        <f>VLOOKUP(B60,'Program 90'!$A$7:$G$64,7)</f>
        <v>38616.458814814825</v>
      </c>
      <c r="U60" s="72">
        <f>(D60*VLOOKUP(B60,'FTE Allotment Factor'!$B$7:$H$64,7,FALSE)*Q60)+(D60*R60)</f>
        <v>15658871.935736582</v>
      </c>
      <c r="V60" s="72">
        <f>((((E60-1)*VLOOKUP(B60,'FTE Allotment Factor'!$B$7:$H$64,7,FALSE))+(K60*N60))*S60)+(T60*E60)</f>
        <v>2792970.7580170836</v>
      </c>
      <c r="W60" s="90">
        <f t="shared" si="9"/>
        <v>18451842.693753667</v>
      </c>
      <c r="Y60" s="90">
        <f>F60*(VLOOKUP(A60, 'OE&amp;E by Cluster'!$B$6:$C$9,2,FALSE))</f>
        <v>8207057.0298201973</v>
      </c>
      <c r="AA60" s="240">
        <f>'AB1058'!E58</f>
        <v>998036.69</v>
      </c>
      <c r="AB60" s="90">
        <f t="shared" si="10"/>
        <v>49473507.486767963</v>
      </c>
      <c r="AC60" s="91">
        <f t="shared" si="11"/>
        <v>1.3556440690514402E-2</v>
      </c>
      <c r="AD60" s="55">
        <f t="shared" si="5"/>
        <v>162741.80094331567</v>
      </c>
    </row>
    <row r="61" spans="1:30" ht="20.100000000000001" customHeight="1" x14ac:dyDescent="0.3">
      <c r="A61" s="65">
        <v>2</v>
      </c>
      <c r="B61" s="66" t="s">
        <v>38</v>
      </c>
      <c r="D61" s="67">
        <f>RAS!M61</f>
        <v>37</v>
      </c>
      <c r="E61" s="67">
        <f>RAS!Q61</f>
        <v>8</v>
      </c>
      <c r="F61" s="68">
        <f t="shared" si="8"/>
        <v>45</v>
      </c>
      <c r="H61" s="71">
        <f>(F61-1)*'AVG RAS salary'!$F$66</f>
        <v>3597018.1414621887</v>
      </c>
      <c r="I61" s="71">
        <f>(F61-1)*(VLOOKUP(B61,'FTE Allotment Factor'!$B$6:$D$63,3))</f>
        <v>2993428.6016966356</v>
      </c>
      <c r="J61" s="71">
        <f>(F61-1)*(VLOOKUP(B61,'FTE Allotment Factor'!$B$6:$H$63,7))</f>
        <v>2993428.6016966356</v>
      </c>
      <c r="K61" s="240">
        <f>VLOOKUP(A61,'CEO Salary'!$G$7:$H$13,2)</f>
        <v>223556.37369018179</v>
      </c>
      <c r="L61" s="240">
        <f t="shared" si="13"/>
        <v>186042.99916701048</v>
      </c>
      <c r="N61" s="85">
        <f>VLOOKUP(B61,BLS!$B$5:$I$64,8, FALSE)</f>
        <v>0.83219724893569946</v>
      </c>
      <c r="O61" s="90">
        <f t="shared" si="7"/>
        <v>3179471.6008636463</v>
      </c>
      <c r="Q61" s="87">
        <f>VLOOKUP(B61,'Program 10'!$A$7:$G$64,6)</f>
        <v>0.31911971535341788</v>
      </c>
      <c r="R61" s="8">
        <f>VLOOKUP(B61,'Program 10'!$A$7:$G$64,7)</f>
        <v>37849.40729299363</v>
      </c>
      <c r="S61" s="87">
        <f>VLOOKUP(B61,'Program 90'!$A$7:$G$64,6)</f>
        <v>0.32702803224230803</v>
      </c>
      <c r="T61" s="8">
        <f>VLOOKUP(B61,'Program 90'!$A$7:$G$64,7)</f>
        <v>37854.852857142869</v>
      </c>
      <c r="U61" s="72">
        <f>(D61*VLOOKUP(B61,'FTE Allotment Factor'!$B$7:$H$64,7,FALSE)*Q61)+(D61*R61)</f>
        <v>2203716.6398920319</v>
      </c>
      <c r="V61" s="72">
        <f>((((E61-1)*VLOOKUP(B61,'FTE Allotment Factor'!$B$7:$H$64,7,FALSE))+(K61*N61))*S61)+(T61*E61)</f>
        <v>519419.76826207095</v>
      </c>
      <c r="W61" s="90">
        <f t="shared" si="9"/>
        <v>2723136.408154103</v>
      </c>
      <c r="Y61" s="90">
        <f>F61*(VLOOKUP(A61, 'OE&amp;E by Cluster'!$B$6:$C$9,2,FALSE))</f>
        <v>1214860.4155983846</v>
      </c>
      <c r="AA61" s="240">
        <f>'AB1058'!E59</f>
        <v>280604.02999999997</v>
      </c>
      <c r="AB61" s="90">
        <f t="shared" si="10"/>
        <v>6836864.3946161335</v>
      </c>
      <c r="AC61" s="91">
        <f t="shared" si="11"/>
        <v>1.8733975289601638E-3</v>
      </c>
      <c r="AD61" s="55">
        <f t="shared" si="5"/>
        <v>151930.31988035853</v>
      </c>
    </row>
    <row r="62" spans="1:30" ht="20.100000000000001" customHeight="1" x14ac:dyDescent="0.3">
      <c r="A62" s="65">
        <v>3</v>
      </c>
      <c r="B62" s="66" t="s">
        <v>52</v>
      </c>
      <c r="D62" s="67">
        <f>RAS!M62</f>
        <v>311</v>
      </c>
      <c r="E62" s="67">
        <f>RAS!Q62</f>
        <v>56</v>
      </c>
      <c r="F62" s="68">
        <f t="shared" si="8"/>
        <v>367</v>
      </c>
      <c r="H62" s="71">
        <f>(F62-1)*'AVG RAS salary'!$F$66</f>
        <v>29920650.903980933</v>
      </c>
      <c r="I62" s="71">
        <f>(F62-1)*(VLOOKUP(B62,'FTE Allotment Factor'!$B$6:$D$63,3))</f>
        <v>37328649.737100333</v>
      </c>
      <c r="J62" s="71">
        <f>(F62-1)*(VLOOKUP(B62,'FTE Allotment Factor'!$B$6:$H$63,7))</f>
        <v>37328649.737100333</v>
      </c>
      <c r="K62" s="240">
        <f>VLOOKUP(A62,'CEO Salary'!$G$7:$H$13,2)</f>
        <v>250146.99852715383</v>
      </c>
      <c r="L62" s="240">
        <f t="shared" si="13"/>
        <v>312080.43303512182</v>
      </c>
      <c r="N62" s="85">
        <f>VLOOKUP(B62,BLS!$B$5:$I$64,8, FALSE)</f>
        <v>1.2475881576538086</v>
      </c>
      <c r="O62" s="90">
        <f t="shared" si="7"/>
        <v>37640730.170135453</v>
      </c>
      <c r="Q62" s="87">
        <f>VLOOKUP(B62,'Program 10'!$A$7:$G$64,6)</f>
        <v>0.23952167454664594</v>
      </c>
      <c r="R62" s="8">
        <f>VLOOKUP(B62,'Program 10'!$A$7:$G$64,7)</f>
        <v>20689.816951607518</v>
      </c>
      <c r="S62" s="87">
        <f>VLOOKUP(B62,'Program 90'!$A$7:$G$64,6)</f>
        <v>0.25434296377316429</v>
      </c>
      <c r="T62" s="8">
        <f>VLOOKUP(B62,'Program 90'!$A$7:$G$64,7)</f>
        <v>24328.059193903424</v>
      </c>
      <c r="U62" s="72">
        <f>(D62*VLOOKUP(B62,'FTE Allotment Factor'!$B$7:$H$64,7,FALSE)*Q62)+(D62*R62)</f>
        <v>14031957.75967725</v>
      </c>
      <c r="V62" s="72">
        <f>((((E62-1)*VLOOKUP(B62,'FTE Allotment Factor'!$B$7:$H$64,7,FALSE))+(K62*N62))*S62)+(T62*E62)</f>
        <v>2868482.7537119873</v>
      </c>
      <c r="W62" s="90">
        <f t="shared" si="9"/>
        <v>16900440.513389237</v>
      </c>
      <c r="Y62" s="90">
        <f>F62*(VLOOKUP(A62, 'OE&amp;E by Cluster'!$B$6:$C$9,2,FALSE))</f>
        <v>9907861.6116579361</v>
      </c>
      <c r="AA62" s="240">
        <f>'AB1058'!E60</f>
        <v>550880</v>
      </c>
      <c r="AB62" s="90">
        <f t="shared" si="10"/>
        <v>63898152.29518263</v>
      </c>
      <c r="AC62" s="91">
        <f t="shared" si="11"/>
        <v>1.7508997356914299E-2</v>
      </c>
      <c r="AD62" s="55">
        <f t="shared" si="5"/>
        <v>174109.40679886276</v>
      </c>
    </row>
    <row r="63" spans="1:30" ht="20.100000000000001" customHeight="1" x14ac:dyDescent="0.3">
      <c r="A63" s="65">
        <v>2</v>
      </c>
      <c r="B63" s="66" t="s">
        <v>39</v>
      </c>
      <c r="D63" s="67">
        <f>RAS!M63</f>
        <v>95</v>
      </c>
      <c r="E63" s="67">
        <f>RAS!Q63</f>
        <v>22</v>
      </c>
      <c r="F63" s="68">
        <f t="shared" si="8"/>
        <v>117</v>
      </c>
      <c r="H63" s="71">
        <f>(F63-1)*'AVG RAS salary'!$F$66</f>
        <v>9483047.8274912238</v>
      </c>
      <c r="I63" s="71">
        <f>(F63-1)*(VLOOKUP(B63,'FTE Allotment Factor'!$B$6:$D$63,3))</f>
        <v>12215143.338536151</v>
      </c>
      <c r="J63" s="71">
        <f>(F63-1)*(VLOOKUP(B63,'FTE Allotment Factor'!$B$6:$H$63,7))</f>
        <v>12215143.338536151</v>
      </c>
      <c r="K63" s="240">
        <f>VLOOKUP(A63,'CEO Salary'!$G$7:$H$13,2)</f>
        <v>223556.37369018179</v>
      </c>
      <c r="L63" s="240">
        <f t="shared" si="13"/>
        <v>287963.65878831159</v>
      </c>
      <c r="N63" s="85">
        <f>VLOOKUP(B63,BLS!$B$5:$I$64,8, FALSE)</f>
        <v>1.2881031036376953</v>
      </c>
      <c r="O63" s="90">
        <f t="shared" si="7"/>
        <v>12503106.997324463</v>
      </c>
      <c r="Q63" s="87">
        <f>VLOOKUP(B63,'Program 10'!$A$7:$G$64,6)</f>
        <v>0.17743148802027453</v>
      </c>
      <c r="R63" s="8">
        <f>VLOOKUP(B63,'Program 10'!$A$7:$G$64,7)</f>
        <v>42362.404808259569</v>
      </c>
      <c r="S63" s="87">
        <f>VLOOKUP(B63,'Program 90'!$A$7:$G$64,6)</f>
        <v>0.1885861012194392</v>
      </c>
      <c r="T63" s="8">
        <f>VLOOKUP(B63,'Program 90'!$A$7:$G$64,7)</f>
        <v>54367.602000000006</v>
      </c>
      <c r="U63" s="72">
        <f>(D63*VLOOKUP(B63,'FTE Allotment Factor'!$B$7:$H$64,7,FALSE)*Q63)+(D63*R63)</f>
        <v>5799414.2378109889</v>
      </c>
      <c r="V63" s="72">
        <f>((((E63-1)*VLOOKUP(B63,'FTE Allotment Factor'!$B$7:$H$64,7,FALSE))+(K63*N63))*S63)+(T63*E63)</f>
        <v>1667425.3551095822</v>
      </c>
      <c r="W63" s="90">
        <f t="shared" si="9"/>
        <v>7466839.5929205716</v>
      </c>
      <c r="Y63" s="90">
        <f>F63*(VLOOKUP(A63, 'OE&amp;E by Cluster'!$B$6:$C$9,2,FALSE))</f>
        <v>3158637.0805557999</v>
      </c>
      <c r="AA63" s="240">
        <f>'AB1058'!E61</f>
        <v>271470.07</v>
      </c>
      <c r="AB63" s="90">
        <f t="shared" si="10"/>
        <v>22857113.600800835</v>
      </c>
      <c r="AC63" s="91">
        <f t="shared" si="11"/>
        <v>6.2631723648961237E-3</v>
      </c>
      <c r="AD63" s="55">
        <f t="shared" si="5"/>
        <v>195359.94530599003</v>
      </c>
    </row>
    <row r="64" spans="1:30" ht="20.100000000000001" customHeight="1" x14ac:dyDescent="0.3">
      <c r="A64" s="65">
        <v>2</v>
      </c>
      <c r="B64" s="66" t="s">
        <v>40</v>
      </c>
      <c r="D64" s="67">
        <f>RAS!M64</f>
        <v>59</v>
      </c>
      <c r="E64" s="67">
        <f>RAS!Q64</f>
        <v>13</v>
      </c>
      <c r="F64" s="68">
        <f t="shared" si="8"/>
        <v>72</v>
      </c>
      <c r="H64" s="71">
        <f>(F64-1)*'AVG RAS salary'!$F$66</f>
        <v>5804279.273723077</v>
      </c>
      <c r="I64" s="71">
        <f>(F64-1)*(VLOOKUP(B64,'FTE Allotment Factor'!$B$6:$D$63,3))</f>
        <v>7044900.4049458047</v>
      </c>
      <c r="J64" s="71">
        <f>(F64-1)*(VLOOKUP(B64,'FTE Allotment Factor'!$B$6:$H$63,7))</f>
        <v>7044900.4049458047</v>
      </c>
      <c r="K64" s="240">
        <f>VLOOKUP(A64,'CEO Salary'!$G$7:$H$13,2)</f>
        <v>223556.37369018179</v>
      </c>
      <c r="L64" s="240">
        <f t="shared" si="13"/>
        <v>271339.87068267964</v>
      </c>
      <c r="N64" s="85">
        <f>VLOOKUP(B64,BLS!$B$5:$I$64,8, FALSE)</f>
        <v>1.2137424945831299</v>
      </c>
      <c r="O64" s="90">
        <f>J64+L64</f>
        <v>7316240.2756284848</v>
      </c>
      <c r="Q64" s="87">
        <f>VLOOKUP(B64,'Program 10'!$A$7:$G$64,6)</f>
        <v>0.10730000000000003</v>
      </c>
      <c r="R64" s="8">
        <f>VLOOKUP(B64,'Program 10'!$A$7:$G$64,7)</f>
        <v>23216.500232558141</v>
      </c>
      <c r="S64" s="87">
        <f>VLOOKUP(B64,'Program 90'!$A$7:$G$64,6)</f>
        <v>0.10730000000000001</v>
      </c>
      <c r="T64" s="8">
        <f>VLOOKUP(B64,'Program 90'!$A$7:$G$64,7)</f>
        <v>18379.623333333337</v>
      </c>
      <c r="U64" s="72">
        <f>(D64*VLOOKUP(B64,'FTE Allotment Factor'!$B$7:$H$64,7,FALSE)*Q64)+(D64*R64)</f>
        <v>1997930.5699686827</v>
      </c>
      <c r="V64" s="72">
        <f>((((E64-1)*VLOOKUP(B64,'FTE Allotment Factor'!$B$7:$H$64,7,FALSE))+(K64*N64))*S64)+(T64*E64)</f>
        <v>395810.62866051757</v>
      </c>
      <c r="W64" s="90">
        <f t="shared" si="9"/>
        <v>2393741.1986292005</v>
      </c>
      <c r="Y64" s="90">
        <f>F64*(VLOOKUP(A64, 'OE&amp;E by Cluster'!$B$6:$C$9,2,FALSE))</f>
        <v>1943776.6649574153</v>
      </c>
      <c r="AA64" s="240">
        <f>'AB1058'!E62</f>
        <v>249020.44000000003</v>
      </c>
      <c r="AB64" s="90">
        <f t="shared" si="10"/>
        <v>11404737.699215101</v>
      </c>
      <c r="AC64" s="91">
        <f t="shared" si="11"/>
        <v>3.1250594118808757E-3</v>
      </c>
      <c r="AD64" s="55">
        <f t="shared" si="5"/>
        <v>158399.13471132086</v>
      </c>
    </row>
    <row r="65" spans="1:29" ht="20.100000000000001" customHeight="1" thickBot="1" x14ac:dyDescent="0.35">
      <c r="B65" s="98" t="s">
        <v>62</v>
      </c>
      <c r="D65" s="69">
        <f>SUM(D7:D64)</f>
        <v>16676</v>
      </c>
      <c r="E65" s="69">
        <f>SUM(E7:E64)</f>
        <v>3025</v>
      </c>
      <c r="F65" s="69">
        <f>SUM(F7:F64)</f>
        <v>19701</v>
      </c>
      <c r="H65" s="99"/>
      <c r="I65" s="99"/>
      <c r="J65" s="99"/>
      <c r="K65" s="99"/>
      <c r="L65" s="77">
        <f>SUM(L7:L64)</f>
        <v>13962163.146127054</v>
      </c>
      <c r="N65" s="59"/>
      <c r="O65" s="77">
        <f>SUM(O7:O64)</f>
        <v>1962906570.2967973</v>
      </c>
      <c r="Q65" s="56"/>
      <c r="R65" s="56"/>
      <c r="S65" s="56"/>
      <c r="T65" s="56"/>
      <c r="U65" s="86">
        <f>SUM(U7:U64)</f>
        <v>1009023043.1292251</v>
      </c>
      <c r="V65" s="86">
        <f>SUM(V7:V64)</f>
        <v>194081187.30027306</v>
      </c>
      <c r="W65" s="86">
        <f>SUM(W7:W64)</f>
        <v>1203104230.429498</v>
      </c>
      <c r="Y65" s="86">
        <f t="shared" ref="Y65" si="14">SUM(Y7:Y64)</f>
        <v>536341084.28526181</v>
      </c>
      <c r="AA65" s="86">
        <f>SUM(AA7:AA64)</f>
        <v>52905203.82</v>
      </c>
      <c r="AB65" s="86">
        <f>SUM(AB7:AB64)</f>
        <v>3649446681.1915569</v>
      </c>
      <c r="AC65" s="93">
        <f t="shared" ref="AC65" si="15">SUM(AC7:AC64)</f>
        <v>0.99999999999999978</v>
      </c>
    </row>
    <row r="66" spans="1:29" ht="15" thickTop="1" x14ac:dyDescent="0.3">
      <c r="D66" s="54"/>
      <c r="E66" s="54"/>
      <c r="F66" s="54"/>
      <c r="H66" s="56"/>
      <c r="I66" s="56"/>
      <c r="J66" s="56"/>
      <c r="K66" s="55"/>
      <c r="L66" s="162"/>
      <c r="N66" s="55"/>
      <c r="O66" s="162"/>
      <c r="Q66" s="56"/>
      <c r="R66" s="56"/>
      <c r="S66" s="56"/>
      <c r="T66" s="56"/>
      <c r="U66" s="56"/>
      <c r="V66" s="56"/>
      <c r="W66" s="55"/>
      <c r="Y66" s="55"/>
      <c r="AA66" s="55"/>
      <c r="AB66" s="163"/>
      <c r="AC66" s="60"/>
    </row>
    <row r="67" spans="1:29" ht="20.100000000000001" customHeight="1" x14ac:dyDescent="0.3">
      <c r="A67" s="53"/>
      <c r="B67" s="61" t="s">
        <v>228</v>
      </c>
      <c r="C67" s="61"/>
      <c r="D67" s="61"/>
      <c r="E67" s="61"/>
      <c r="F67" s="61"/>
      <c r="G67" s="61"/>
      <c r="H67" s="61"/>
      <c r="I67" s="61"/>
      <c r="J67" s="61"/>
      <c r="K67" s="61"/>
      <c r="L67" s="61"/>
      <c r="M67" s="61"/>
      <c r="N67" s="61"/>
      <c r="O67" s="61"/>
      <c r="P67" s="61"/>
      <c r="Q67" s="61"/>
      <c r="R67" s="61"/>
      <c r="S67" s="61"/>
      <c r="T67" s="61"/>
      <c r="U67" s="233"/>
      <c r="V67" s="61"/>
      <c r="W67" s="61"/>
      <c r="X67" s="61"/>
      <c r="Y67" s="234"/>
      <c r="Z67" s="61"/>
      <c r="AA67" s="235"/>
      <c r="AB67" s="236"/>
      <c r="AC67" s="237"/>
    </row>
    <row r="68" spans="1:29" ht="20.100000000000001" customHeight="1" x14ac:dyDescent="0.3">
      <c r="A68" s="53"/>
      <c r="B68" s="230" t="s">
        <v>229</v>
      </c>
      <c r="C68" s="230"/>
      <c r="D68" s="230"/>
      <c r="E68" s="230"/>
      <c r="F68" s="230"/>
      <c r="G68" s="230"/>
      <c r="H68" s="230"/>
      <c r="I68" s="230"/>
      <c r="J68" s="230"/>
      <c r="K68" s="230"/>
      <c r="L68" s="230"/>
      <c r="M68" s="230"/>
      <c r="N68" s="230"/>
      <c r="O68" s="230"/>
      <c r="P68" s="61"/>
      <c r="Q68" s="61"/>
      <c r="R68" s="61"/>
      <c r="S68" s="61"/>
      <c r="T68" s="61"/>
      <c r="U68" s="233"/>
      <c r="V68" s="61"/>
      <c r="W68" s="61"/>
      <c r="X68" s="61"/>
      <c r="Y68" s="234"/>
      <c r="Z68" s="61"/>
      <c r="AA68" s="235"/>
      <c r="AB68" s="236"/>
      <c r="AC68" s="237"/>
    </row>
    <row r="69" spans="1:29" ht="17.55" customHeight="1" x14ac:dyDescent="0.3">
      <c r="A69" s="53"/>
      <c r="B69" s="61" t="s">
        <v>230</v>
      </c>
      <c r="C69" s="61"/>
      <c r="D69" s="61"/>
      <c r="E69" s="61"/>
      <c r="F69" s="61"/>
      <c r="G69" s="61"/>
      <c r="H69" s="61"/>
      <c r="I69" s="61"/>
      <c r="J69" s="61"/>
      <c r="K69" s="61"/>
      <c r="L69" s="61"/>
      <c r="M69" s="61"/>
      <c r="N69" s="61"/>
      <c r="O69" s="61"/>
      <c r="P69" s="61"/>
      <c r="Q69" s="61"/>
      <c r="R69" s="61"/>
      <c r="S69" s="61"/>
      <c r="T69" s="61"/>
      <c r="U69" s="61"/>
      <c r="V69" s="61"/>
      <c r="W69" s="61"/>
      <c r="X69" s="61"/>
      <c r="Y69" s="61"/>
      <c r="Z69" s="61"/>
      <c r="AA69" s="61"/>
      <c r="AB69" s="61"/>
      <c r="AC69" s="61"/>
    </row>
    <row r="70" spans="1:29" ht="35.1" customHeight="1" x14ac:dyDescent="0.3">
      <c r="B70" s="263" t="s">
        <v>231</v>
      </c>
      <c r="C70" s="263"/>
      <c r="D70" s="263"/>
      <c r="E70" s="263"/>
      <c r="F70" s="263"/>
      <c r="G70" s="263"/>
      <c r="H70" s="263"/>
      <c r="I70" s="263"/>
      <c r="J70" s="263"/>
      <c r="K70" s="263"/>
      <c r="L70" s="263"/>
      <c r="M70" s="263"/>
      <c r="N70" s="263"/>
      <c r="O70" s="263"/>
      <c r="P70" s="263"/>
      <c r="Q70" s="263"/>
      <c r="R70" s="263"/>
      <c r="S70" s="263"/>
      <c r="T70" s="263"/>
      <c r="U70" s="263"/>
      <c r="V70" s="263"/>
      <c r="W70" s="263"/>
      <c r="X70" s="263"/>
      <c r="Y70" s="263"/>
      <c r="Z70" s="263"/>
      <c r="AA70" s="263"/>
      <c r="AB70" s="263"/>
      <c r="AC70" s="263"/>
    </row>
    <row r="71" spans="1:29" ht="18.600000000000001" customHeight="1" x14ac:dyDescent="0.3">
      <c r="B71" s="61" t="s">
        <v>232</v>
      </c>
      <c r="C71" s="61"/>
      <c r="D71" s="61"/>
      <c r="E71" s="61"/>
      <c r="F71" s="61"/>
      <c r="G71" s="61"/>
      <c r="H71" s="61"/>
      <c r="I71" s="61"/>
      <c r="J71" s="61"/>
      <c r="K71" s="61"/>
      <c r="L71" s="61"/>
      <c r="M71" s="61"/>
      <c r="N71" s="61"/>
      <c r="O71" s="61"/>
      <c r="P71" s="61"/>
      <c r="Q71" s="61"/>
      <c r="R71" s="61"/>
      <c r="S71" s="61"/>
      <c r="T71" s="61"/>
      <c r="U71" s="61"/>
      <c r="V71" s="61"/>
      <c r="W71" s="238"/>
      <c r="X71" s="61"/>
      <c r="Y71" s="61"/>
      <c r="Z71" s="61"/>
      <c r="AA71" s="61"/>
      <c r="AB71" s="236"/>
      <c r="AC71" s="61"/>
    </row>
    <row r="72" spans="1:29" ht="25.05" customHeight="1" x14ac:dyDescent="0.3">
      <c r="A72" s="61"/>
      <c r="B72" s="257" t="s">
        <v>233</v>
      </c>
      <c r="C72" s="257"/>
      <c r="D72" s="257"/>
      <c r="E72" s="257"/>
      <c r="F72" s="257"/>
      <c r="G72" s="257"/>
      <c r="H72" s="257"/>
      <c r="I72" s="257"/>
      <c r="J72" s="61"/>
      <c r="K72" s="239"/>
      <c r="L72" s="61"/>
      <c r="M72" s="61"/>
      <c r="N72" s="61"/>
      <c r="O72" s="61"/>
      <c r="P72" s="61"/>
      <c r="Q72" s="61"/>
      <c r="R72" s="61"/>
      <c r="S72" s="61"/>
      <c r="T72" s="61"/>
      <c r="U72" s="233"/>
      <c r="V72" s="61"/>
      <c r="W72" s="61"/>
      <c r="X72" s="61"/>
      <c r="Y72" s="234"/>
      <c r="Z72" s="61"/>
      <c r="AA72" s="235"/>
      <c r="AB72" s="236"/>
      <c r="AC72" s="237"/>
    </row>
    <row r="73" spans="1:29" ht="16.2" x14ac:dyDescent="0.3">
      <c r="B73" s="53" t="s">
        <v>234</v>
      </c>
    </row>
    <row r="74" spans="1:29" ht="16.2" x14ac:dyDescent="0.3">
      <c r="B74" s="256"/>
    </row>
  </sheetData>
  <sortState xmlns:xlrd2="http://schemas.microsoft.com/office/spreadsheetml/2017/richdata2" ref="A5:AF62">
    <sortCondition ref="B5:B62"/>
  </sortState>
  <mergeCells count="9">
    <mergeCell ref="B70:AC70"/>
    <mergeCell ref="Y4:Y5"/>
    <mergeCell ref="D4:F4"/>
    <mergeCell ref="N4:O4"/>
    <mergeCell ref="A5:A6"/>
    <mergeCell ref="B5:B6"/>
    <mergeCell ref="Q4:T4"/>
    <mergeCell ref="U4:W4"/>
    <mergeCell ref="H4:L4"/>
  </mergeCells>
  <printOptions horizontalCentered="1"/>
  <pageMargins left="0" right="0" top="0.5" bottom="0" header="0.3" footer="0"/>
  <pageSetup scale="32" orientation="landscape" r:id="rId1"/>
  <headerFooter>
    <oddHeader xml:space="preserve">&amp;C&amp;"-,Bold"&amp;16 </oddHeader>
  </headerFooter>
  <colBreaks count="1" manualBreakCount="1">
    <brk id="1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theme="9" tint="0.59999389629810485"/>
    <pageSetUpPr fitToPage="1"/>
  </sheetPr>
  <dimension ref="A1:J67"/>
  <sheetViews>
    <sheetView zoomScaleNormal="100" workbookViewId="0">
      <pane xSplit="2" ySplit="6" topLeftCell="C7" activePane="bottomRight" state="frozen"/>
      <selection pane="topRight" activeCell="D1" sqref="D1"/>
      <selection pane="bottomLeft" activeCell="A6" sqref="A6"/>
      <selection pane="bottomRight"/>
    </sheetView>
  </sheetViews>
  <sheetFormatPr defaultColWidth="9.21875" defaultRowHeight="14.4" x14ac:dyDescent="0.3"/>
  <cols>
    <col min="1" max="1" width="8.21875" style="1" bestFit="1" customWidth="1"/>
    <col min="2" max="8" width="15.77734375" style="1" customWidth="1"/>
    <col min="9" max="9" width="15.77734375" style="141" customWidth="1"/>
    <col min="10" max="16384" width="9.21875" style="1"/>
  </cols>
  <sheetData>
    <row r="1" spans="1:10" ht="18" x14ac:dyDescent="0.35">
      <c r="A1" s="2" t="s">
        <v>177</v>
      </c>
    </row>
    <row r="2" spans="1:10" ht="15" customHeight="1" x14ac:dyDescent="0.3">
      <c r="A2" s="49" t="s">
        <v>244</v>
      </c>
    </row>
    <row r="3" spans="1:10" ht="15" customHeight="1" x14ac:dyDescent="0.3">
      <c r="A3" s="146"/>
    </row>
    <row r="4" spans="1:10" ht="15" customHeight="1" x14ac:dyDescent="0.3">
      <c r="A4" s="142"/>
      <c r="F4" s="279" t="s">
        <v>180</v>
      </c>
      <c r="G4" s="280"/>
      <c r="H4" s="280"/>
    </row>
    <row r="5" spans="1:10" ht="55.2" x14ac:dyDescent="0.3">
      <c r="A5" s="275" t="s">
        <v>68</v>
      </c>
      <c r="B5" s="277" t="s">
        <v>73</v>
      </c>
      <c r="C5" s="11" t="s">
        <v>72</v>
      </c>
      <c r="D5" s="11" t="s">
        <v>71</v>
      </c>
      <c r="E5" s="147" t="s">
        <v>70</v>
      </c>
      <c r="F5" s="74" t="s">
        <v>181</v>
      </c>
      <c r="G5" s="74" t="s">
        <v>182</v>
      </c>
      <c r="H5" s="74" t="s">
        <v>183</v>
      </c>
      <c r="I5" s="88" t="s">
        <v>178</v>
      </c>
    </row>
    <row r="6" spans="1:10" x14ac:dyDescent="0.3">
      <c r="A6" s="276"/>
      <c r="B6" s="278"/>
      <c r="C6" s="78" t="s">
        <v>65</v>
      </c>
      <c r="D6" s="78" t="s">
        <v>1</v>
      </c>
      <c r="E6" s="78" t="s">
        <v>66</v>
      </c>
      <c r="F6" s="78" t="s">
        <v>2</v>
      </c>
      <c r="G6" s="78" t="s">
        <v>3</v>
      </c>
      <c r="H6" s="78" t="s">
        <v>83</v>
      </c>
      <c r="I6" s="78" t="s">
        <v>114</v>
      </c>
    </row>
    <row r="7" spans="1:10" ht="15" customHeight="1" x14ac:dyDescent="0.3">
      <c r="A7" s="5">
        <v>4</v>
      </c>
      <c r="B7" s="6" t="s">
        <v>53</v>
      </c>
      <c r="C7" s="260">
        <f>_xlfn.XLOOKUP(B7,[10]Summary!$A$2:$A$59,[10]Summary!$C$2:$C$59)</f>
        <v>0.74851787090301514</v>
      </c>
      <c r="D7" s="260">
        <f>_xlfn.XLOOKUP(B7,[10]Summary!$A$2:$A$59,[10]Summary!$B$2:$B$59)</f>
        <v>0.25148218870162964</v>
      </c>
      <c r="E7" s="260" t="str">
        <f>_xlfn.XLOOKUP(B7,[10]Summary!$A$2:$A$59,[10]Summary!$D$2:$D$59)</f>
        <v>no</v>
      </c>
      <c r="F7" s="254">
        <f>_xlfn.XLOOKUP(B7,[10]Summary!$A$2:$A$59,[10]Summary!$F$2:$F$59)</f>
        <v>1.4797787666320801</v>
      </c>
      <c r="G7" s="254">
        <f>_xlfn.XLOOKUP(B7,[10]Summary!$A$2:$A$59,[10]Summary!$E$2:$E$59)</f>
        <v>1.4749454259872437</v>
      </c>
      <c r="H7" s="254">
        <f>_xlfn.XLOOKUP(B7,[10]Summary!$A$2:$A$59,[10]Summary!$G$2:$G$59)</f>
        <v>1.4773621559143066</v>
      </c>
      <c r="I7" s="254">
        <f>IF(E7="no",F7,H7)</f>
        <v>1.4797787666320801</v>
      </c>
      <c r="J7"/>
    </row>
    <row r="8" spans="1:10" ht="15" customHeight="1" x14ac:dyDescent="0.3">
      <c r="A8" s="5">
        <v>1</v>
      </c>
      <c r="B8" s="7" t="s">
        <v>4</v>
      </c>
      <c r="C8" s="260">
        <f>_xlfn.XLOOKUP(B8,[10]Summary!$A$2:$A$59,[10]Summary!$C$2:$C$59)</f>
        <v>0.91935479640960693</v>
      </c>
      <c r="D8" s="260">
        <f>_xlfn.XLOOKUP(B8,[10]Summary!$A$2:$A$59,[10]Summary!$B$2:$B$59)</f>
        <v>8.0645158886909485E-2</v>
      </c>
      <c r="E8" s="260" t="str">
        <f>_xlfn.XLOOKUP(B8,[10]Summary!$A$2:$A$59,[10]Summary!$D$2:$D$59)</f>
        <v>no</v>
      </c>
      <c r="F8" s="254">
        <f>_xlfn.XLOOKUP(B8,[10]Summary!$A$2:$A$59,[10]Summary!$F$2:$F$59)</f>
        <v>0.75190412998199463</v>
      </c>
      <c r="G8" s="254">
        <f>_xlfn.XLOOKUP(B8,[10]Summary!$A$2:$A$59,[10]Summary!$E$2:$E$59)</f>
        <v>0.68666118383407593</v>
      </c>
      <c r="H8" s="254">
        <f>_xlfn.XLOOKUP(B8,[10]Summary!$A$2:$A$59,[10]Summary!$G$2:$G$59)</f>
        <v>0.71928262710571289</v>
      </c>
      <c r="I8" s="254">
        <f t="shared" ref="I8:I64" si="0">IF(E8="no",F8,H8)</f>
        <v>0.75190412998199463</v>
      </c>
      <c r="J8"/>
    </row>
    <row r="9" spans="1:10" ht="15" customHeight="1" x14ac:dyDescent="0.3">
      <c r="A9" s="5">
        <v>1</v>
      </c>
      <c r="B9" s="7" t="s">
        <v>5</v>
      </c>
      <c r="C9" s="260">
        <f>_xlfn.XLOOKUP(B9,[10]Summary!$A$2:$A$59,[10]Summary!$C$2:$C$59)</f>
        <v>0.29498669505119324</v>
      </c>
      <c r="D9" s="260">
        <f>_xlfn.XLOOKUP(B9,[10]Summary!$A$2:$A$59,[10]Summary!$B$2:$B$59)</f>
        <v>0.70501333475112915</v>
      </c>
      <c r="E9" s="260" t="str">
        <f>_xlfn.XLOOKUP(B9,[10]Summary!$A$2:$A$59,[10]Summary!$D$2:$D$59)</f>
        <v>yes</v>
      </c>
      <c r="F9" s="254">
        <f>_xlfn.XLOOKUP(B9,[10]Summary!$A$2:$A$59,[10]Summary!$F$2:$F$59)</f>
        <v>0.92826700210571289</v>
      </c>
      <c r="G9" s="254">
        <f>_xlfn.XLOOKUP(B9,[10]Summary!$A$2:$A$59,[10]Summary!$E$2:$E$59)</f>
        <v>0.92670422792434692</v>
      </c>
      <c r="H9" s="254">
        <f>_xlfn.XLOOKUP(B9,[10]Summary!$A$2:$A$59,[10]Summary!$G$2:$G$59)</f>
        <v>0.92748558521270752</v>
      </c>
      <c r="I9" s="254">
        <f t="shared" si="0"/>
        <v>0.92748558521270752</v>
      </c>
      <c r="J9"/>
    </row>
    <row r="10" spans="1:10" ht="15" customHeight="1" x14ac:dyDescent="0.3">
      <c r="A10" s="5">
        <v>2</v>
      </c>
      <c r="B10" s="6" t="s">
        <v>19</v>
      </c>
      <c r="C10" s="260">
        <f>_xlfn.XLOOKUP(B10,[10]Summary!$A$2:$A$59,[10]Summary!$C$2:$C$59)</f>
        <v>0.79337120056152344</v>
      </c>
      <c r="D10" s="260">
        <f>_xlfn.XLOOKUP(B10,[10]Summary!$A$2:$A$59,[10]Summary!$B$2:$B$59)</f>
        <v>0.20662881433963776</v>
      </c>
      <c r="E10" s="260" t="str">
        <f>_xlfn.XLOOKUP(B10,[10]Summary!$A$2:$A$59,[10]Summary!$D$2:$D$59)</f>
        <v>no</v>
      </c>
      <c r="F10" s="254">
        <f>_xlfn.XLOOKUP(B10,[10]Summary!$A$2:$A$59,[10]Summary!$F$2:$F$59)</f>
        <v>0.86910712718963623</v>
      </c>
      <c r="G10" s="254">
        <f>_xlfn.XLOOKUP(B10,[10]Summary!$A$2:$A$59,[10]Summary!$E$2:$E$59)</f>
        <v>0.92523401975631714</v>
      </c>
      <c r="H10" s="254">
        <f>_xlfn.XLOOKUP(B10,[10]Summary!$A$2:$A$59,[10]Summary!$G$2:$G$59)</f>
        <v>0.8971705436706543</v>
      </c>
      <c r="I10" s="254">
        <f t="shared" si="0"/>
        <v>0.86910712718963623</v>
      </c>
      <c r="J10"/>
    </row>
    <row r="11" spans="1:10" ht="15" customHeight="1" x14ac:dyDescent="0.3">
      <c r="A11" s="5">
        <v>1</v>
      </c>
      <c r="B11" s="7" t="s">
        <v>6</v>
      </c>
      <c r="C11" s="260">
        <f>_xlfn.XLOOKUP(B11,[10]Summary!$A$2:$A$59,[10]Summary!$C$2:$C$59)</f>
        <v>0.61948484182357788</v>
      </c>
      <c r="D11" s="260">
        <f>_xlfn.XLOOKUP(B11,[10]Summary!$A$2:$A$59,[10]Summary!$B$2:$B$59)</f>
        <v>0.38051518797874451</v>
      </c>
      <c r="E11" s="260" t="str">
        <f>_xlfn.XLOOKUP(B11,[10]Summary!$A$2:$A$59,[10]Summary!$D$2:$D$59)</f>
        <v>no</v>
      </c>
      <c r="F11" s="254">
        <f>_xlfn.XLOOKUP(B11,[10]Summary!$A$2:$A$59,[10]Summary!$F$2:$F$59)</f>
        <v>0.86235398054122925</v>
      </c>
      <c r="G11" s="254">
        <f>_xlfn.XLOOKUP(B11,[10]Summary!$A$2:$A$59,[10]Summary!$E$2:$E$59)</f>
        <v>0.79917424917221069</v>
      </c>
      <c r="H11" s="254">
        <f>_xlfn.XLOOKUP(B11,[10]Summary!$A$2:$A$59,[10]Summary!$G$2:$G$59)</f>
        <v>0.83076411485671997</v>
      </c>
      <c r="I11" s="254">
        <f t="shared" si="0"/>
        <v>0.86235398054122925</v>
      </c>
      <c r="J11"/>
    </row>
    <row r="12" spans="1:10" ht="15" customHeight="1" x14ac:dyDescent="0.3">
      <c r="A12" s="5">
        <v>1</v>
      </c>
      <c r="B12" s="7" t="s">
        <v>7</v>
      </c>
      <c r="C12" s="260">
        <f>_xlfn.XLOOKUP(B12,[10]Summary!$A$2:$A$59,[10]Summary!$C$2:$C$59)</f>
        <v>0.94378966093063354</v>
      </c>
      <c r="D12" s="260">
        <f>_xlfn.XLOOKUP(B12,[10]Summary!$A$2:$A$59,[10]Summary!$B$2:$B$59)</f>
        <v>5.6210335344076157E-2</v>
      </c>
      <c r="E12" s="260" t="str">
        <f>_xlfn.XLOOKUP(B12,[10]Summary!$A$2:$A$59,[10]Summary!$D$2:$D$59)</f>
        <v>no</v>
      </c>
      <c r="F12" s="254">
        <f>_xlfn.XLOOKUP(B12,[10]Summary!$A$2:$A$59,[10]Summary!$F$2:$F$59)</f>
        <v>0.75406444072723389</v>
      </c>
      <c r="G12" s="254">
        <f>_xlfn.XLOOKUP(B12,[10]Summary!$A$2:$A$59,[10]Summary!$E$2:$E$59)</f>
        <v>0.61287081241607666</v>
      </c>
      <c r="H12" s="254">
        <f>_xlfn.XLOOKUP(B12,[10]Summary!$A$2:$A$59,[10]Summary!$G$2:$G$59)</f>
        <v>0.68346762657165527</v>
      </c>
      <c r="I12" s="254">
        <f t="shared" si="0"/>
        <v>0.75406444072723389</v>
      </c>
      <c r="J12"/>
    </row>
    <row r="13" spans="1:10" ht="15" customHeight="1" x14ac:dyDescent="0.3">
      <c r="A13" s="5">
        <v>3</v>
      </c>
      <c r="B13" s="6" t="s">
        <v>41</v>
      </c>
      <c r="C13" s="260">
        <f>_xlfn.XLOOKUP(B13,[10]Summary!$A$2:$A$59,[10]Summary!$C$2:$C$59)</f>
        <v>0.94952589273452759</v>
      </c>
      <c r="D13" s="260">
        <f>_xlfn.XLOOKUP(B13,[10]Summary!$A$2:$A$59,[10]Summary!$B$2:$B$59)</f>
        <v>5.0474125891923904E-2</v>
      </c>
      <c r="E13" s="260" t="str">
        <f>_xlfn.XLOOKUP(B13,[10]Summary!$A$2:$A$59,[10]Summary!$D$2:$D$59)</f>
        <v>no</v>
      </c>
      <c r="F13" s="254">
        <f>_xlfn.XLOOKUP(B13,[10]Summary!$A$2:$A$59,[10]Summary!$F$2:$F$59)</f>
        <v>1.3127007484436035</v>
      </c>
      <c r="G13" s="254">
        <f>_xlfn.XLOOKUP(B13,[10]Summary!$A$2:$A$59,[10]Summary!$E$2:$E$59)</f>
        <v>1.0475940704345703</v>
      </c>
      <c r="H13" s="254">
        <f>_xlfn.XLOOKUP(B13,[10]Summary!$A$2:$A$59,[10]Summary!$G$2:$G$59)</f>
        <v>1.1801474094390869</v>
      </c>
      <c r="I13" s="254">
        <f t="shared" si="0"/>
        <v>1.3127007484436035</v>
      </c>
      <c r="J13"/>
    </row>
    <row r="14" spans="1:10" ht="15" customHeight="1" x14ac:dyDescent="0.3">
      <c r="A14" s="5">
        <v>1</v>
      </c>
      <c r="B14" s="7" t="s">
        <v>8</v>
      </c>
      <c r="C14" s="260">
        <f>_xlfn.XLOOKUP(B14,[10]Summary!$A$2:$A$59,[10]Summary!$C$2:$C$59)</f>
        <v>0.36392807960510254</v>
      </c>
      <c r="D14" s="260">
        <f>_xlfn.XLOOKUP(B14,[10]Summary!$A$2:$A$59,[10]Summary!$B$2:$B$59)</f>
        <v>0.63607186079025269</v>
      </c>
      <c r="E14" s="260" t="str">
        <f>_xlfn.XLOOKUP(B14,[10]Summary!$A$2:$A$59,[10]Summary!$D$2:$D$59)</f>
        <v>yes</v>
      </c>
      <c r="F14" s="254">
        <f>_xlfn.XLOOKUP(B14,[10]Summary!$A$2:$A$59,[10]Summary!$F$2:$F$59)</f>
        <v>0.67789709568023682</v>
      </c>
      <c r="G14" s="254">
        <f>_xlfn.XLOOKUP(B14,[10]Summary!$A$2:$A$59,[10]Summary!$E$2:$E$59)</f>
        <v>0.82573980093002319</v>
      </c>
      <c r="H14" s="254">
        <f>_xlfn.XLOOKUP(B14,[10]Summary!$A$2:$A$59,[10]Summary!$G$2:$G$59)</f>
        <v>0.75181841850280762</v>
      </c>
      <c r="I14" s="254">
        <f t="shared" si="0"/>
        <v>0.75181841850280762</v>
      </c>
      <c r="J14"/>
    </row>
    <row r="15" spans="1:10" ht="15" customHeight="1" x14ac:dyDescent="0.3">
      <c r="A15" s="5">
        <v>2</v>
      </c>
      <c r="B15" s="7" t="s">
        <v>20</v>
      </c>
      <c r="C15" s="260">
        <f>_xlfn.XLOOKUP(B15,[10]Summary!$A$2:$A$59,[10]Summary!$C$2:$C$59)</f>
        <v>0.85454171895980835</v>
      </c>
      <c r="D15" s="260">
        <f>_xlfn.XLOOKUP(B15,[10]Summary!$A$2:$A$59,[10]Summary!$B$2:$B$59)</f>
        <v>0.14545823633670807</v>
      </c>
      <c r="E15" s="260" t="str">
        <f>_xlfn.XLOOKUP(B15,[10]Summary!$A$2:$A$59,[10]Summary!$D$2:$D$59)</f>
        <v>no</v>
      </c>
      <c r="F15" s="254">
        <f>_xlfn.XLOOKUP(B15,[10]Summary!$A$2:$A$59,[10]Summary!$F$2:$F$59)</f>
        <v>1.1307181119918823</v>
      </c>
      <c r="G15" s="254">
        <f>_xlfn.XLOOKUP(B15,[10]Summary!$A$2:$A$59,[10]Summary!$E$2:$E$59)</f>
        <v>0.99183750152587891</v>
      </c>
      <c r="H15" s="254">
        <f>_xlfn.XLOOKUP(B15,[10]Summary!$A$2:$A$59,[10]Summary!$G$2:$G$59)</f>
        <v>1.0612778663635254</v>
      </c>
      <c r="I15" s="254">
        <f t="shared" si="0"/>
        <v>1.1307181119918823</v>
      </c>
      <c r="J15"/>
    </row>
    <row r="16" spans="1:10" ht="15" customHeight="1" x14ac:dyDescent="0.3">
      <c r="A16" s="5">
        <v>3</v>
      </c>
      <c r="B16" s="6" t="s">
        <v>42</v>
      </c>
      <c r="C16" s="260">
        <f>_xlfn.XLOOKUP(B16,[10]Summary!$A$2:$A$59,[10]Summary!$C$2:$C$59)</f>
        <v>0.6767612099647522</v>
      </c>
      <c r="D16" s="260">
        <f>_xlfn.XLOOKUP(B16,[10]Summary!$A$2:$A$59,[10]Summary!$B$2:$B$59)</f>
        <v>0.3232387900352478</v>
      </c>
      <c r="E16" s="260" t="str">
        <f>_xlfn.XLOOKUP(B16,[10]Summary!$A$2:$A$59,[10]Summary!$D$2:$D$59)</f>
        <v>no</v>
      </c>
      <c r="F16" s="254">
        <f>_xlfn.XLOOKUP(B16,[10]Summary!$A$2:$A$59,[10]Summary!$F$2:$F$59)</f>
        <v>0.95337182283401489</v>
      </c>
      <c r="G16" s="254">
        <f>_xlfn.XLOOKUP(B16,[10]Summary!$A$2:$A$59,[10]Summary!$E$2:$E$59)</f>
        <v>1.1194567680358887</v>
      </c>
      <c r="H16" s="254">
        <f>_xlfn.XLOOKUP(B16,[10]Summary!$A$2:$A$59,[10]Summary!$G$2:$G$59)</f>
        <v>1.0364142656326294</v>
      </c>
      <c r="I16" s="254">
        <f t="shared" si="0"/>
        <v>0.95337182283401489</v>
      </c>
      <c r="J16"/>
    </row>
    <row r="17" spans="1:10" ht="15" customHeight="1" x14ac:dyDescent="0.3">
      <c r="A17" s="5">
        <v>1</v>
      </c>
      <c r="B17" s="7" t="s">
        <v>9</v>
      </c>
      <c r="C17" s="260">
        <f>_xlfn.XLOOKUP(B17,[10]Summary!$A$2:$A$59,[10]Summary!$C$2:$C$59)</f>
        <v>0.96607667207717896</v>
      </c>
      <c r="D17" s="260">
        <f>_xlfn.XLOOKUP(B17,[10]Summary!$A$2:$A$59,[10]Summary!$B$2:$B$59)</f>
        <v>3.3923301845788956E-2</v>
      </c>
      <c r="E17" s="260" t="str">
        <f>_xlfn.XLOOKUP(B17,[10]Summary!$A$2:$A$59,[10]Summary!$D$2:$D$59)</f>
        <v>no</v>
      </c>
      <c r="F17" s="254">
        <f>_xlfn.XLOOKUP(B17,[10]Summary!$A$2:$A$59,[10]Summary!$F$2:$F$59)</f>
        <v>0.75637280941009521</v>
      </c>
      <c r="G17" s="254">
        <f>_xlfn.XLOOKUP(B17,[10]Summary!$A$2:$A$59,[10]Summary!$E$2:$E$59)</f>
        <v>1.0651761293411255</v>
      </c>
      <c r="H17" s="254">
        <f>_xlfn.XLOOKUP(B17,[10]Summary!$A$2:$A$59,[10]Summary!$G$2:$G$59)</f>
        <v>0.91077446937561035</v>
      </c>
      <c r="I17" s="254">
        <f t="shared" si="0"/>
        <v>0.75637280941009521</v>
      </c>
      <c r="J17"/>
    </row>
    <row r="18" spans="1:10" ht="15" customHeight="1" x14ac:dyDescent="0.3">
      <c r="A18" s="5">
        <v>2</v>
      </c>
      <c r="B18" s="7" t="s">
        <v>21</v>
      </c>
      <c r="C18" s="260">
        <f>_xlfn.XLOOKUP(B18,[10]Summary!$A$2:$A$59,[10]Summary!$C$2:$C$59)</f>
        <v>0.74087190628051758</v>
      </c>
      <c r="D18" s="260">
        <f>_xlfn.XLOOKUP(B18,[10]Summary!$A$2:$A$59,[10]Summary!$B$2:$B$59)</f>
        <v>0.25912809371948242</v>
      </c>
      <c r="E18" s="260" t="str">
        <f>_xlfn.XLOOKUP(B18,[10]Summary!$A$2:$A$59,[10]Summary!$D$2:$D$59)</f>
        <v>no</v>
      </c>
      <c r="F18" s="254">
        <f>_xlfn.XLOOKUP(B18,[10]Summary!$A$2:$A$59,[10]Summary!$F$2:$F$59)</f>
        <v>0.74337166547775269</v>
      </c>
      <c r="G18" s="254">
        <f>_xlfn.XLOOKUP(B18,[10]Summary!$A$2:$A$59,[10]Summary!$E$2:$E$59)</f>
        <v>1.1112251281738281</v>
      </c>
      <c r="H18" s="254">
        <f>_xlfn.XLOOKUP(B18,[10]Summary!$A$2:$A$59,[10]Summary!$G$2:$G$59)</f>
        <v>0.92729842662811279</v>
      </c>
      <c r="I18" s="254">
        <f t="shared" si="0"/>
        <v>0.74337166547775269</v>
      </c>
      <c r="J18"/>
    </row>
    <row r="19" spans="1:10" ht="15" customHeight="1" x14ac:dyDescent="0.3">
      <c r="A19" s="5">
        <v>2</v>
      </c>
      <c r="B19" s="6" t="s">
        <v>22</v>
      </c>
      <c r="C19" s="260">
        <f>_xlfn.XLOOKUP(B19,[10]Summary!$A$2:$A$59,[10]Summary!$C$2:$C$59)</f>
        <v>0.51884955167770386</v>
      </c>
      <c r="D19" s="260">
        <f>_xlfn.XLOOKUP(B19,[10]Summary!$A$2:$A$59,[10]Summary!$B$2:$B$59)</f>
        <v>0.48115047812461853</v>
      </c>
      <c r="E19" s="260" t="str">
        <f>_xlfn.XLOOKUP(B19,[10]Summary!$A$2:$A$59,[10]Summary!$D$2:$D$59)</f>
        <v>no</v>
      </c>
      <c r="F19" s="254">
        <f>_xlfn.XLOOKUP(B19,[10]Summary!$A$2:$A$59,[10]Summary!$F$2:$F$59)</f>
        <v>0.69174045324325562</v>
      </c>
      <c r="G19" s="254">
        <f>_xlfn.XLOOKUP(B19,[10]Summary!$A$2:$A$59,[10]Summary!$E$2:$E$59)</f>
        <v>0.81056851148605347</v>
      </c>
      <c r="H19" s="254">
        <f>_xlfn.XLOOKUP(B19,[10]Summary!$A$2:$A$59,[10]Summary!$G$2:$G$59)</f>
        <v>0.75115448236465454</v>
      </c>
      <c r="I19" s="254">
        <f t="shared" si="0"/>
        <v>0.69174045324325562</v>
      </c>
      <c r="J19"/>
    </row>
    <row r="20" spans="1:10" ht="15" customHeight="1" x14ac:dyDescent="0.3">
      <c r="A20" s="5">
        <v>1</v>
      </c>
      <c r="B20" s="7" t="s">
        <v>10</v>
      </c>
      <c r="C20" s="260">
        <f>_xlfn.XLOOKUP(B20,[10]Summary!$A$2:$A$59,[10]Summary!$C$2:$C$59)</f>
        <v>0.66755175590515137</v>
      </c>
      <c r="D20" s="260">
        <f>_xlfn.XLOOKUP(B20,[10]Summary!$A$2:$A$59,[10]Summary!$B$2:$B$59)</f>
        <v>0.33244821429252625</v>
      </c>
      <c r="E20" s="260" t="str">
        <f>_xlfn.XLOOKUP(B20,[10]Summary!$A$2:$A$59,[10]Summary!$D$2:$D$59)</f>
        <v>no</v>
      </c>
      <c r="F20" s="254">
        <f>_xlfn.XLOOKUP(B20,[10]Summary!$A$2:$A$59,[10]Summary!$F$2:$F$59)</f>
        <v>0.82393860816955566</v>
      </c>
      <c r="G20" s="254">
        <f>_xlfn.XLOOKUP(B20,[10]Summary!$A$2:$A$59,[10]Summary!$E$2:$E$59)</f>
        <v>1.0937306880950928</v>
      </c>
      <c r="H20" s="254">
        <f>_xlfn.XLOOKUP(B20,[10]Summary!$A$2:$A$59,[10]Summary!$G$2:$G$59)</f>
        <v>0.95883464813232422</v>
      </c>
      <c r="I20" s="254">
        <f t="shared" si="0"/>
        <v>0.82393860816955566</v>
      </c>
      <c r="J20"/>
    </row>
    <row r="21" spans="1:10" ht="15" customHeight="1" x14ac:dyDescent="0.3">
      <c r="A21" s="5">
        <v>3</v>
      </c>
      <c r="B21" s="7" t="s">
        <v>43</v>
      </c>
      <c r="C21" s="260">
        <f>_xlfn.XLOOKUP(B21,[10]Summary!$A$2:$A$59,[10]Summary!$C$2:$C$59)</f>
        <v>0.59420633316040039</v>
      </c>
      <c r="D21" s="260">
        <f>_xlfn.XLOOKUP(B21,[10]Summary!$A$2:$A$59,[10]Summary!$B$2:$B$59)</f>
        <v>0.40579363703727722</v>
      </c>
      <c r="E21" s="260" t="str">
        <f>_xlfn.XLOOKUP(B21,[10]Summary!$A$2:$A$59,[10]Summary!$D$2:$D$59)</f>
        <v>no</v>
      </c>
      <c r="F21" s="254">
        <f>_xlfn.XLOOKUP(B21,[10]Summary!$A$2:$A$59,[10]Summary!$F$2:$F$59)</f>
        <v>0.93725103139877319</v>
      </c>
      <c r="G21" s="254">
        <f>_xlfn.XLOOKUP(B21,[10]Summary!$A$2:$A$59,[10]Summary!$E$2:$E$59)</f>
        <v>0.96473091840744019</v>
      </c>
      <c r="H21" s="254">
        <f>_xlfn.XLOOKUP(B21,[10]Summary!$A$2:$A$59,[10]Summary!$G$2:$G$59)</f>
        <v>0.95099097490310669</v>
      </c>
      <c r="I21" s="254">
        <f t="shared" si="0"/>
        <v>0.93725103139877319</v>
      </c>
      <c r="J21"/>
    </row>
    <row r="22" spans="1:10" ht="15" customHeight="1" x14ac:dyDescent="0.3">
      <c r="A22" s="5">
        <v>2</v>
      </c>
      <c r="B22" s="6" t="s">
        <v>23</v>
      </c>
      <c r="C22" s="260">
        <f>_xlfn.XLOOKUP(B22,[10]Summary!$A$2:$A$59,[10]Summary!$C$2:$C$59)</f>
        <v>0.35047736763954163</v>
      </c>
      <c r="D22" s="260">
        <f>_xlfn.XLOOKUP(B22,[10]Summary!$A$2:$A$59,[10]Summary!$B$2:$B$59)</f>
        <v>0.64952266216278076</v>
      </c>
      <c r="E22" s="260" t="str">
        <f>_xlfn.XLOOKUP(B22,[10]Summary!$A$2:$A$59,[10]Summary!$D$2:$D$59)</f>
        <v>yes</v>
      </c>
      <c r="F22" s="254">
        <f>_xlfn.XLOOKUP(B22,[10]Summary!$A$2:$A$59,[10]Summary!$F$2:$F$59)</f>
        <v>0.84642010927200317</v>
      </c>
      <c r="G22" s="254">
        <f>_xlfn.XLOOKUP(B22,[10]Summary!$A$2:$A$59,[10]Summary!$E$2:$E$59)</f>
        <v>0.79227876663208008</v>
      </c>
      <c r="H22" s="254">
        <f>_xlfn.XLOOKUP(B22,[10]Summary!$A$2:$A$59,[10]Summary!$G$2:$G$59)</f>
        <v>0.81934940814971924</v>
      </c>
      <c r="I22" s="254">
        <f t="shared" si="0"/>
        <v>0.81934940814971924</v>
      </c>
      <c r="J22"/>
    </row>
    <row r="23" spans="1:10" ht="15" customHeight="1" x14ac:dyDescent="0.3">
      <c r="A23" s="5">
        <v>2</v>
      </c>
      <c r="B23" s="7" t="s">
        <v>24</v>
      </c>
      <c r="C23" s="260">
        <f>_xlfn.XLOOKUP(B23,[10]Summary!$A$2:$A$59,[10]Summary!$C$2:$C$59)</f>
        <v>0.95173883438110352</v>
      </c>
      <c r="D23" s="260">
        <f>_xlfn.XLOOKUP(B23,[10]Summary!$A$2:$A$59,[10]Summary!$B$2:$B$59)</f>
        <v>4.826117679476738E-2</v>
      </c>
      <c r="E23" s="260" t="str">
        <f>_xlfn.XLOOKUP(B23,[10]Summary!$A$2:$A$59,[10]Summary!$D$2:$D$59)</f>
        <v>no</v>
      </c>
      <c r="F23" s="254">
        <f>_xlfn.XLOOKUP(B23,[10]Summary!$A$2:$A$59,[10]Summary!$F$2:$F$59)</f>
        <v>0.77314198017120361</v>
      </c>
      <c r="G23" s="254">
        <f>_xlfn.XLOOKUP(B23,[10]Summary!$A$2:$A$59,[10]Summary!$E$2:$E$59)</f>
        <v>0.82295280694961548</v>
      </c>
      <c r="H23" s="254">
        <f>_xlfn.XLOOKUP(B23,[10]Summary!$A$2:$A$59,[10]Summary!$G$2:$G$59)</f>
        <v>0.79804742336273193</v>
      </c>
      <c r="I23" s="254">
        <f t="shared" si="0"/>
        <v>0.77314198017120361</v>
      </c>
      <c r="J23"/>
    </row>
    <row r="24" spans="1:10" ht="15" customHeight="1" x14ac:dyDescent="0.3">
      <c r="A24" s="5">
        <v>1</v>
      </c>
      <c r="B24" s="7" t="s">
        <v>11</v>
      </c>
      <c r="C24" s="260">
        <f>_xlfn.XLOOKUP(B24,[10]Summary!$A$2:$A$59,[10]Summary!$C$2:$C$59)</f>
        <v>0.22437189519405365</v>
      </c>
      <c r="D24" s="260">
        <f>_xlfn.XLOOKUP(B24,[10]Summary!$A$2:$A$59,[10]Summary!$B$2:$B$59)</f>
        <v>0.77562814950942993</v>
      </c>
      <c r="E24" s="260" t="str">
        <f>_xlfn.XLOOKUP(B24,[10]Summary!$A$2:$A$59,[10]Summary!$D$2:$D$59)</f>
        <v>yes</v>
      </c>
      <c r="F24" s="254">
        <f>_xlfn.XLOOKUP(B24,[10]Summary!$A$2:$A$59,[10]Summary!$F$2:$F$59)</f>
        <v>0.70875251293182373</v>
      </c>
      <c r="G24" s="254">
        <f>_xlfn.XLOOKUP(B24,[10]Summary!$A$2:$A$59,[10]Summary!$E$2:$E$59)</f>
        <v>0.84930557012557983</v>
      </c>
      <c r="H24" s="254">
        <f>_xlfn.XLOOKUP(B24,[10]Summary!$A$2:$A$59,[10]Summary!$G$2:$G$59)</f>
        <v>0.77902901172637939</v>
      </c>
      <c r="I24" s="254">
        <f t="shared" si="0"/>
        <v>0.77902901172637939</v>
      </c>
      <c r="J24"/>
    </row>
    <row r="25" spans="1:10" ht="15" customHeight="1" x14ac:dyDescent="0.3">
      <c r="A25" s="5">
        <v>4</v>
      </c>
      <c r="B25" s="6" t="s">
        <v>54</v>
      </c>
      <c r="C25" s="260">
        <f>_xlfn.XLOOKUP(B25,[10]Summary!$A$2:$A$59,[10]Summary!$C$2:$C$59)</f>
        <v>0.90274250507354736</v>
      </c>
      <c r="D25" s="260">
        <f>_xlfn.XLOOKUP(B25,[10]Summary!$A$2:$A$59,[10]Summary!$B$2:$B$59)</f>
        <v>9.7257494926452637E-2</v>
      </c>
      <c r="E25" s="260" t="str">
        <f>_xlfn.XLOOKUP(B25,[10]Summary!$A$2:$A$59,[10]Summary!$D$2:$D$59)</f>
        <v>no</v>
      </c>
      <c r="F25" s="254">
        <f>_xlfn.XLOOKUP(B25,[10]Summary!$A$2:$A$59,[10]Summary!$F$2:$F$59)</f>
        <v>1.3648638725280762</v>
      </c>
      <c r="G25" s="254">
        <f>_xlfn.XLOOKUP(B25,[10]Summary!$A$2:$A$59,[10]Summary!$E$2:$E$59)</f>
        <v>1.2866823673248291</v>
      </c>
      <c r="H25" s="254">
        <f>_xlfn.XLOOKUP(B25,[10]Summary!$A$2:$A$59,[10]Summary!$G$2:$G$59)</f>
        <v>1.3257731199264526</v>
      </c>
      <c r="I25" s="254">
        <f t="shared" si="0"/>
        <v>1.3648638725280762</v>
      </c>
      <c r="J25"/>
    </row>
    <row r="26" spans="1:10" ht="15" customHeight="1" x14ac:dyDescent="0.3">
      <c r="A26" s="5">
        <v>2</v>
      </c>
      <c r="B26" s="7" t="s">
        <v>25</v>
      </c>
      <c r="C26" s="260">
        <f>_xlfn.XLOOKUP(B26,[10]Summary!$A$2:$A$59,[10]Summary!$C$2:$C$59)</f>
        <v>0.43631470203399658</v>
      </c>
      <c r="D26" s="260">
        <f>_xlfn.XLOOKUP(B26,[10]Summary!$A$2:$A$59,[10]Summary!$B$2:$B$59)</f>
        <v>0.56368523836135864</v>
      </c>
      <c r="E26" s="260" t="str">
        <f>_xlfn.XLOOKUP(B26,[10]Summary!$A$2:$A$59,[10]Summary!$D$2:$D$59)</f>
        <v>yes</v>
      </c>
      <c r="F26" s="254">
        <f>_xlfn.XLOOKUP(B26,[10]Summary!$A$2:$A$59,[10]Summary!$F$2:$F$59)</f>
        <v>0.80951410531997681</v>
      </c>
      <c r="G26" s="254">
        <f>_xlfn.XLOOKUP(B26,[10]Summary!$A$2:$A$59,[10]Summary!$E$2:$E$59)</f>
        <v>0.9503815770149231</v>
      </c>
      <c r="H26" s="254">
        <f>_xlfn.XLOOKUP(B26,[10]Summary!$A$2:$A$59,[10]Summary!$G$2:$G$59)</f>
        <v>0.87994784116744995</v>
      </c>
      <c r="I26" s="254">
        <f t="shared" si="0"/>
        <v>0.87994784116744995</v>
      </c>
      <c r="J26"/>
    </row>
    <row r="27" spans="1:10" ht="15" customHeight="1" x14ac:dyDescent="0.3">
      <c r="A27" s="5">
        <v>2</v>
      </c>
      <c r="B27" s="7" t="s">
        <v>26</v>
      </c>
      <c r="C27" s="260">
        <f>_xlfn.XLOOKUP(B27,[10]Summary!$A$2:$A$59,[10]Summary!$C$2:$C$59)</f>
        <v>0.68125247955322266</v>
      </c>
      <c r="D27" s="260">
        <f>_xlfn.XLOOKUP(B27,[10]Summary!$A$2:$A$59,[10]Summary!$B$2:$B$59)</f>
        <v>0.31874752044677734</v>
      </c>
      <c r="E27" s="260" t="str">
        <f>_xlfn.XLOOKUP(B27,[10]Summary!$A$2:$A$59,[10]Summary!$D$2:$D$59)</f>
        <v>no</v>
      </c>
      <c r="F27" s="254">
        <f>_xlfn.XLOOKUP(B27,[10]Summary!$A$2:$A$59,[10]Summary!$F$2:$F$59)</f>
        <v>1.1905050277709961</v>
      </c>
      <c r="G27" s="254">
        <f>_xlfn.XLOOKUP(B27,[10]Summary!$A$2:$A$59,[10]Summary!$E$2:$E$59)</f>
        <v>0.8945809006690979</v>
      </c>
      <c r="H27" s="254">
        <f>_xlfn.XLOOKUP(B27,[10]Summary!$A$2:$A$59,[10]Summary!$G$2:$G$59)</f>
        <v>1.0425429344177246</v>
      </c>
      <c r="I27" s="254">
        <f t="shared" si="0"/>
        <v>1.1905050277709961</v>
      </c>
      <c r="J27"/>
    </row>
    <row r="28" spans="1:10" ht="15" customHeight="1" x14ac:dyDescent="0.3">
      <c r="A28" s="5">
        <v>1</v>
      </c>
      <c r="B28" s="6" t="s">
        <v>12</v>
      </c>
      <c r="C28" s="260">
        <f>_xlfn.XLOOKUP(B28,[10]Summary!$A$2:$A$59,[10]Summary!$C$2:$C$59)</f>
        <v>0.46112236380577087</v>
      </c>
      <c r="D28" s="260">
        <f>_xlfn.XLOOKUP(B28,[10]Summary!$A$2:$A$59,[10]Summary!$B$2:$B$59)</f>
        <v>0.53887760639190674</v>
      </c>
      <c r="E28" s="260" t="str">
        <f>_xlfn.XLOOKUP(B28,[10]Summary!$A$2:$A$59,[10]Summary!$D$2:$D$59)</f>
        <v>yes</v>
      </c>
      <c r="F28" s="254">
        <f>_xlfn.XLOOKUP(B28,[10]Summary!$A$2:$A$59,[10]Summary!$F$2:$F$59)</f>
        <v>0.85384869575500488</v>
      </c>
      <c r="G28" s="254">
        <f>_xlfn.XLOOKUP(B28,[10]Summary!$A$2:$A$59,[10]Summary!$E$2:$E$59)</f>
        <v>0.80218851566314697</v>
      </c>
      <c r="H28" s="254">
        <f>_xlfn.XLOOKUP(B28,[10]Summary!$A$2:$A$59,[10]Summary!$G$2:$G$59)</f>
        <v>0.82801860570907593</v>
      </c>
      <c r="I28" s="254">
        <f t="shared" si="0"/>
        <v>0.82801860570907593</v>
      </c>
      <c r="J28"/>
    </row>
    <row r="29" spans="1:10" ht="15" customHeight="1" x14ac:dyDescent="0.3">
      <c r="A29" s="5">
        <v>2</v>
      </c>
      <c r="B29" s="7" t="s">
        <v>27</v>
      </c>
      <c r="C29" s="260">
        <f>_xlfn.XLOOKUP(B29,[10]Summary!$A$2:$A$59,[10]Summary!$C$2:$C$59)</f>
        <v>0.81163102388381958</v>
      </c>
      <c r="D29" s="260">
        <f>_xlfn.XLOOKUP(B29,[10]Summary!$A$2:$A$59,[10]Summary!$B$2:$B$59)</f>
        <v>0.18836899101734161</v>
      </c>
      <c r="E29" s="260" t="str">
        <f>_xlfn.XLOOKUP(B29,[10]Summary!$A$2:$A$59,[10]Summary!$D$2:$D$59)</f>
        <v>no</v>
      </c>
      <c r="F29" s="254">
        <f>_xlfn.XLOOKUP(B29,[10]Summary!$A$2:$A$59,[10]Summary!$F$2:$F$59)</f>
        <v>0.77642285823822021</v>
      </c>
      <c r="G29" s="254">
        <f>_xlfn.XLOOKUP(B29,[10]Summary!$A$2:$A$59,[10]Summary!$E$2:$E$59)</f>
        <v>0.77060890197753906</v>
      </c>
      <c r="H29" s="254">
        <f>_xlfn.XLOOKUP(B29,[10]Summary!$A$2:$A$59,[10]Summary!$G$2:$G$59)</f>
        <v>0.77351588010787964</v>
      </c>
      <c r="I29" s="254">
        <f t="shared" si="0"/>
        <v>0.77642285823822021</v>
      </c>
      <c r="J29"/>
    </row>
    <row r="30" spans="1:10" ht="15" customHeight="1" x14ac:dyDescent="0.3">
      <c r="A30" s="5">
        <v>2</v>
      </c>
      <c r="B30" s="7" t="s">
        <v>28</v>
      </c>
      <c r="C30" s="260">
        <f>_xlfn.XLOOKUP(B30,[10]Summary!$A$2:$A$59,[10]Summary!$C$2:$C$59)</f>
        <v>0.89621728658676147</v>
      </c>
      <c r="D30" s="260">
        <f>_xlfn.XLOOKUP(B30,[10]Summary!$A$2:$A$59,[10]Summary!$B$2:$B$59)</f>
        <v>0.10378274321556091</v>
      </c>
      <c r="E30" s="260" t="str">
        <f>_xlfn.XLOOKUP(B30,[10]Summary!$A$2:$A$59,[10]Summary!$D$2:$D$59)</f>
        <v>no</v>
      </c>
      <c r="F30" s="254">
        <f>_xlfn.XLOOKUP(B30,[10]Summary!$A$2:$A$59,[10]Summary!$F$2:$F$59)</f>
        <v>0.78461319208145142</v>
      </c>
      <c r="G30" s="254">
        <f>_xlfn.XLOOKUP(B30,[10]Summary!$A$2:$A$59,[10]Summary!$E$2:$E$59)</f>
        <v>0.97153753042221069</v>
      </c>
      <c r="H30" s="254">
        <f>_xlfn.XLOOKUP(B30,[10]Summary!$A$2:$A$59,[10]Summary!$G$2:$G$59)</f>
        <v>0.87807536125183105</v>
      </c>
      <c r="I30" s="254">
        <f t="shared" si="0"/>
        <v>0.78461319208145142</v>
      </c>
      <c r="J30"/>
    </row>
    <row r="31" spans="1:10" ht="15" customHeight="1" x14ac:dyDescent="0.3">
      <c r="A31" s="5">
        <v>1</v>
      </c>
      <c r="B31" s="6" t="s">
        <v>13</v>
      </c>
      <c r="C31" s="260">
        <f>_xlfn.XLOOKUP(B31,[10]Summary!$A$2:$A$59,[10]Summary!$C$2:$C$59)</f>
        <v>0.87311822175979614</v>
      </c>
      <c r="D31" s="260">
        <f>_xlfn.XLOOKUP(B31,[10]Summary!$A$2:$A$59,[10]Summary!$B$2:$B$59)</f>
        <v>0.12688171863555908</v>
      </c>
      <c r="E31" s="260" t="str">
        <f>_xlfn.XLOOKUP(B31,[10]Summary!$A$2:$A$59,[10]Summary!$D$2:$D$59)</f>
        <v>no</v>
      </c>
      <c r="F31" s="254">
        <f>_xlfn.XLOOKUP(B31,[10]Summary!$A$2:$A$59,[10]Summary!$F$2:$F$59)</f>
        <v>0.56760567426681519</v>
      </c>
      <c r="G31" s="254">
        <f>_xlfn.XLOOKUP(B31,[10]Summary!$A$2:$A$59,[10]Summary!$E$2:$E$59)</f>
        <v>0.97115689516067505</v>
      </c>
      <c r="H31" s="254">
        <f>_xlfn.XLOOKUP(B31,[10]Summary!$A$2:$A$59,[10]Summary!$G$2:$G$59)</f>
        <v>0.76938128471374512</v>
      </c>
      <c r="I31" s="254">
        <f t="shared" si="0"/>
        <v>0.56760567426681519</v>
      </c>
      <c r="J31"/>
    </row>
    <row r="32" spans="1:10" ht="15" customHeight="1" x14ac:dyDescent="0.3">
      <c r="A32" s="5">
        <v>1</v>
      </c>
      <c r="B32" s="7" t="s">
        <v>14</v>
      </c>
      <c r="C32" s="260">
        <f>_xlfn.XLOOKUP(B32,[10]Summary!$A$2:$A$59,[10]Summary!$C$2:$C$59)</f>
        <v>0.90374332666397095</v>
      </c>
      <c r="D32" s="260">
        <f>_xlfn.XLOOKUP(B32,[10]Summary!$A$2:$A$59,[10]Summary!$B$2:$B$59)</f>
        <v>9.6256688237190247E-2</v>
      </c>
      <c r="E32" s="260" t="str">
        <f>_xlfn.XLOOKUP(B32,[10]Summary!$A$2:$A$59,[10]Summary!$D$2:$D$59)</f>
        <v>no</v>
      </c>
      <c r="F32" s="254">
        <f>_xlfn.XLOOKUP(B32,[10]Summary!$A$2:$A$59,[10]Summary!$F$2:$F$59)</f>
        <v>0.91385245323181152</v>
      </c>
      <c r="G32" s="254">
        <f>_xlfn.XLOOKUP(B32,[10]Summary!$A$2:$A$59,[10]Summary!$E$2:$E$59)</f>
        <v>0.94797658920288086</v>
      </c>
      <c r="H32" s="254">
        <f>_xlfn.XLOOKUP(B32,[10]Summary!$A$2:$A$59,[10]Summary!$G$2:$G$59)</f>
        <v>0.93091452121734619</v>
      </c>
      <c r="I32" s="254">
        <f t="shared" si="0"/>
        <v>0.91385245323181152</v>
      </c>
      <c r="J32"/>
    </row>
    <row r="33" spans="1:10" ht="15" customHeight="1" x14ac:dyDescent="0.3">
      <c r="A33" s="5">
        <v>3</v>
      </c>
      <c r="B33" s="7" t="s">
        <v>44</v>
      </c>
      <c r="C33" s="260">
        <f>_xlfn.XLOOKUP(B33,[10]Summary!$A$2:$A$59,[10]Summary!$C$2:$C$59)</f>
        <v>0.62620174884796143</v>
      </c>
      <c r="D33" s="260">
        <f>_xlfn.XLOOKUP(B33,[10]Summary!$A$2:$A$59,[10]Summary!$B$2:$B$59)</f>
        <v>0.37379828095436096</v>
      </c>
      <c r="E33" s="260" t="str">
        <f>_xlfn.XLOOKUP(B33,[10]Summary!$A$2:$A$59,[10]Summary!$D$2:$D$59)</f>
        <v>no</v>
      </c>
      <c r="F33" s="254">
        <f>_xlfn.XLOOKUP(B33,[10]Summary!$A$2:$A$59,[10]Summary!$F$2:$F$59)</f>
        <v>1.1321594715118408</v>
      </c>
      <c r="G33" s="254">
        <f>_xlfn.XLOOKUP(B33,[10]Summary!$A$2:$A$59,[10]Summary!$E$2:$E$59)</f>
        <v>0.88628488779067993</v>
      </c>
      <c r="H33" s="254">
        <f>_xlfn.XLOOKUP(B33,[10]Summary!$A$2:$A$59,[10]Summary!$G$2:$G$59)</f>
        <v>1.009222149848938</v>
      </c>
      <c r="I33" s="254">
        <f t="shared" si="0"/>
        <v>1.1321594715118408</v>
      </c>
      <c r="J33"/>
    </row>
    <row r="34" spans="1:10" ht="15" customHeight="1" x14ac:dyDescent="0.3">
      <c r="A34" s="5">
        <v>2</v>
      </c>
      <c r="B34" s="6" t="s">
        <v>29</v>
      </c>
      <c r="C34" s="260">
        <f>_xlfn.XLOOKUP(B34,[10]Summary!$A$2:$A$59,[10]Summary!$C$2:$C$59)</f>
        <v>0.77040863037109375</v>
      </c>
      <c r="D34" s="260">
        <f>_xlfn.XLOOKUP(B34,[10]Summary!$A$2:$A$59,[10]Summary!$B$2:$B$59)</f>
        <v>0.22959132492542267</v>
      </c>
      <c r="E34" s="260" t="str">
        <f>_xlfn.XLOOKUP(B34,[10]Summary!$A$2:$A$59,[10]Summary!$D$2:$D$59)</f>
        <v>no</v>
      </c>
      <c r="F34" s="254">
        <f>_xlfn.XLOOKUP(B34,[10]Summary!$A$2:$A$59,[10]Summary!$F$2:$F$59)</f>
        <v>1.2873004674911499</v>
      </c>
      <c r="G34" s="254">
        <f>_xlfn.XLOOKUP(B34,[10]Summary!$A$2:$A$59,[10]Summary!$E$2:$E$59)</f>
        <v>0.95303201675415039</v>
      </c>
      <c r="H34" s="254">
        <f>_xlfn.XLOOKUP(B34,[10]Summary!$A$2:$A$59,[10]Summary!$G$2:$G$59)</f>
        <v>1.1201663017272949</v>
      </c>
      <c r="I34" s="254">
        <f t="shared" si="0"/>
        <v>1.2873004674911499</v>
      </c>
      <c r="J34"/>
    </row>
    <row r="35" spans="1:10" ht="15" customHeight="1" x14ac:dyDescent="0.3">
      <c r="A35" s="5">
        <v>2</v>
      </c>
      <c r="B35" s="7" t="s">
        <v>30</v>
      </c>
      <c r="C35" s="260">
        <f>_xlfn.XLOOKUP(B35,[10]Summary!$A$2:$A$59,[10]Summary!$C$2:$C$59)</f>
        <v>0.70851778984069824</v>
      </c>
      <c r="D35" s="260">
        <f>_xlfn.XLOOKUP(B35,[10]Summary!$A$2:$A$59,[10]Summary!$B$2:$B$59)</f>
        <v>0.29148223996162415</v>
      </c>
      <c r="E35" s="260" t="str">
        <f>_xlfn.XLOOKUP(B35,[10]Summary!$A$2:$A$59,[10]Summary!$D$2:$D$59)</f>
        <v>no</v>
      </c>
      <c r="F35" s="254">
        <f>_xlfn.XLOOKUP(B35,[10]Summary!$A$2:$A$59,[10]Summary!$F$2:$F$59)</f>
        <v>1.0597002506256104</v>
      </c>
      <c r="G35" s="254">
        <f>_xlfn.XLOOKUP(B35,[10]Summary!$A$2:$A$59,[10]Summary!$E$2:$E$59)</f>
        <v>0.76088875532150269</v>
      </c>
      <c r="H35" s="254">
        <f>_xlfn.XLOOKUP(B35,[10]Summary!$A$2:$A$59,[10]Summary!$G$2:$G$59)</f>
        <v>0.91029453277587891</v>
      </c>
      <c r="I35" s="254">
        <f t="shared" si="0"/>
        <v>1.0597002506256104</v>
      </c>
      <c r="J35"/>
    </row>
    <row r="36" spans="1:10" ht="15" customHeight="1" x14ac:dyDescent="0.3">
      <c r="A36" s="5">
        <v>4</v>
      </c>
      <c r="B36" s="7" t="s">
        <v>55</v>
      </c>
      <c r="C36" s="260">
        <f>_xlfn.XLOOKUP(B36,[10]Summary!$A$2:$A$59,[10]Summary!$C$2:$C$59)</f>
        <v>0.888846755027771</v>
      </c>
      <c r="D36" s="260">
        <f>_xlfn.XLOOKUP(B36,[10]Summary!$A$2:$A$59,[10]Summary!$B$2:$B$59)</f>
        <v>0.11115317791700363</v>
      </c>
      <c r="E36" s="260" t="str">
        <f>_xlfn.XLOOKUP(B36,[10]Summary!$A$2:$A$59,[10]Summary!$D$2:$D$59)</f>
        <v>no</v>
      </c>
      <c r="F36" s="254">
        <f>_xlfn.XLOOKUP(B36,[10]Summary!$A$2:$A$59,[10]Summary!$F$2:$F$59)</f>
        <v>1.2251654863357544</v>
      </c>
      <c r="G36" s="254">
        <f>_xlfn.XLOOKUP(B36,[10]Summary!$A$2:$A$59,[10]Summary!$E$2:$E$59)</f>
        <v>1.1501396894454956</v>
      </c>
      <c r="H36" s="254">
        <f>_xlfn.XLOOKUP(B36,[10]Summary!$A$2:$A$59,[10]Summary!$G$2:$G$59)</f>
        <v>1.187652587890625</v>
      </c>
      <c r="I36" s="254">
        <f t="shared" si="0"/>
        <v>1.2251654863357544</v>
      </c>
      <c r="J36"/>
    </row>
    <row r="37" spans="1:10" ht="15" customHeight="1" x14ac:dyDescent="0.3">
      <c r="A37" s="5">
        <v>2</v>
      </c>
      <c r="B37" s="6" t="s">
        <v>31</v>
      </c>
      <c r="C37" s="260">
        <f>_xlfn.XLOOKUP(B37,[10]Summary!$A$2:$A$59,[10]Summary!$C$2:$C$59)</f>
        <v>0.88713008165359497</v>
      </c>
      <c r="D37" s="260">
        <f>_xlfn.XLOOKUP(B37,[10]Summary!$A$2:$A$59,[10]Summary!$B$2:$B$59)</f>
        <v>0.11286996304988861</v>
      </c>
      <c r="E37" s="260" t="str">
        <f>_xlfn.XLOOKUP(B37,[10]Summary!$A$2:$A$59,[10]Summary!$D$2:$D$59)</f>
        <v>no</v>
      </c>
      <c r="F37" s="254">
        <f>_xlfn.XLOOKUP(B37,[10]Summary!$A$2:$A$59,[10]Summary!$F$2:$F$59)</f>
        <v>1.1614402532577515</v>
      </c>
      <c r="G37" s="254">
        <f>_xlfn.XLOOKUP(B37,[10]Summary!$A$2:$A$59,[10]Summary!$E$2:$E$59)</f>
        <v>0.99661362171173096</v>
      </c>
      <c r="H37" s="254">
        <f>_xlfn.XLOOKUP(B37,[10]Summary!$A$2:$A$59,[10]Summary!$G$2:$G$59)</f>
        <v>1.0790269374847412</v>
      </c>
      <c r="I37" s="254">
        <f t="shared" si="0"/>
        <v>1.1614402532577515</v>
      </c>
      <c r="J37"/>
    </row>
    <row r="38" spans="1:10" ht="15" customHeight="1" x14ac:dyDescent="0.3">
      <c r="A38" s="5">
        <v>1</v>
      </c>
      <c r="B38" s="7" t="s">
        <v>15</v>
      </c>
      <c r="C38" s="260">
        <f>_xlfn.XLOOKUP(B38,[10]Summary!$A$2:$A$59,[10]Summary!$C$2:$C$59)</f>
        <v>0.91883707046508789</v>
      </c>
      <c r="D38" s="260">
        <f>_xlfn.XLOOKUP(B38,[10]Summary!$A$2:$A$59,[10]Summary!$B$2:$B$59)</f>
        <v>8.1162936985492706E-2</v>
      </c>
      <c r="E38" s="260" t="str">
        <f>_xlfn.XLOOKUP(B38,[10]Summary!$A$2:$A$59,[10]Summary!$D$2:$D$59)</f>
        <v>no</v>
      </c>
      <c r="F38" s="254">
        <f>_xlfn.XLOOKUP(B38,[10]Summary!$A$2:$A$59,[10]Summary!$F$2:$F$59)</f>
        <v>0.72609078884124756</v>
      </c>
      <c r="G38" s="254">
        <f>_xlfn.XLOOKUP(B38,[10]Summary!$A$2:$A$59,[10]Summary!$E$2:$E$59)</f>
        <v>0.86021220684051514</v>
      </c>
      <c r="H38" s="254">
        <f>_xlfn.XLOOKUP(B38,[10]Summary!$A$2:$A$59,[10]Summary!$G$2:$G$59)</f>
        <v>0.79315149784088135</v>
      </c>
      <c r="I38" s="254">
        <f t="shared" si="0"/>
        <v>0.72609078884124756</v>
      </c>
      <c r="J38"/>
    </row>
    <row r="39" spans="1:10" ht="15" customHeight="1" x14ac:dyDescent="0.3">
      <c r="A39" s="5">
        <v>4</v>
      </c>
      <c r="B39" s="7" t="s">
        <v>56</v>
      </c>
      <c r="C39" s="260">
        <f>_xlfn.XLOOKUP(B39,[10]Summary!$A$2:$A$59,[10]Summary!$C$2:$C$59)</f>
        <v>0.81238412857055664</v>
      </c>
      <c r="D39" s="260">
        <f>_xlfn.XLOOKUP(B39,[10]Summary!$A$2:$A$59,[10]Summary!$B$2:$B$59)</f>
        <v>0.18761590123176575</v>
      </c>
      <c r="E39" s="260" t="str">
        <f>_xlfn.XLOOKUP(B39,[10]Summary!$A$2:$A$59,[10]Summary!$D$2:$D$59)</f>
        <v>no</v>
      </c>
      <c r="F39" s="254">
        <f>_xlfn.XLOOKUP(B39,[10]Summary!$A$2:$A$59,[10]Summary!$F$2:$F$59)</f>
        <v>1.0591380596160889</v>
      </c>
      <c r="G39" s="254">
        <f>_xlfn.XLOOKUP(B39,[10]Summary!$A$2:$A$59,[10]Summary!$E$2:$E$59)</f>
        <v>0.96312087774276733</v>
      </c>
      <c r="H39" s="254">
        <f>_xlfn.XLOOKUP(B39,[10]Summary!$A$2:$A$59,[10]Summary!$G$2:$G$59)</f>
        <v>1.0111294984817505</v>
      </c>
      <c r="I39" s="254">
        <f t="shared" si="0"/>
        <v>1.0591380596160889</v>
      </c>
      <c r="J39"/>
    </row>
    <row r="40" spans="1:10" ht="15" customHeight="1" x14ac:dyDescent="0.3">
      <c r="A40" s="5">
        <v>4</v>
      </c>
      <c r="B40" s="6" t="s">
        <v>57</v>
      </c>
      <c r="C40" s="260">
        <f>_xlfn.XLOOKUP(B40,[10]Summary!$A$2:$A$59,[10]Summary!$C$2:$C$59)</f>
        <v>0.174456387758255</v>
      </c>
      <c r="D40" s="260">
        <f>_xlfn.XLOOKUP(B40,[10]Summary!$A$2:$A$59,[10]Summary!$B$2:$B$59)</f>
        <v>0.82554358243942261</v>
      </c>
      <c r="E40" s="260" t="str">
        <f>_xlfn.XLOOKUP(B40,[10]Summary!$A$2:$A$59,[10]Summary!$D$2:$D$59)</f>
        <v>yes</v>
      </c>
      <c r="F40" s="254">
        <f>_xlfn.XLOOKUP(B40,[10]Summary!$A$2:$A$59,[10]Summary!$F$2:$F$59)</f>
        <v>1.1908683776855469</v>
      </c>
      <c r="G40" s="254">
        <f>_xlfn.XLOOKUP(B40,[10]Summary!$A$2:$A$59,[10]Summary!$E$2:$E$59)</f>
        <v>1.4648549556732178</v>
      </c>
      <c r="H40" s="254">
        <f>_xlfn.XLOOKUP(B40,[10]Summary!$A$2:$A$59,[10]Summary!$G$2:$G$59)</f>
        <v>1.3278616666793823</v>
      </c>
      <c r="I40" s="254">
        <f t="shared" si="0"/>
        <v>1.3278616666793823</v>
      </c>
      <c r="J40"/>
    </row>
    <row r="41" spans="1:10" ht="15" customHeight="1" x14ac:dyDescent="0.3">
      <c r="A41" s="5">
        <v>1</v>
      </c>
      <c r="B41" s="7" t="s">
        <v>16</v>
      </c>
      <c r="C41" s="260">
        <f>_xlfn.XLOOKUP(B41,[10]Summary!$A$2:$A$59,[10]Summary!$C$2:$C$59)</f>
        <v>0.90296107530593872</v>
      </c>
      <c r="D41" s="260">
        <f>_xlfn.XLOOKUP(B41,[10]Summary!$A$2:$A$59,[10]Summary!$B$2:$B$59)</f>
        <v>9.7038879990577698E-2</v>
      </c>
      <c r="E41" s="260" t="str">
        <f>_xlfn.XLOOKUP(B41,[10]Summary!$A$2:$A$59,[10]Summary!$D$2:$D$59)</f>
        <v>no</v>
      </c>
      <c r="F41" s="254">
        <f>_xlfn.XLOOKUP(B41,[10]Summary!$A$2:$A$59,[10]Summary!$F$2:$F$59)</f>
        <v>1.0319836139678955</v>
      </c>
      <c r="G41" s="254">
        <f>_xlfn.XLOOKUP(B41,[10]Summary!$A$2:$A$59,[10]Summary!$E$2:$E$59)</f>
        <v>0.70356541872024536</v>
      </c>
      <c r="H41" s="254">
        <f>_xlfn.XLOOKUP(B41,[10]Summary!$A$2:$A$59,[10]Summary!$G$2:$G$59)</f>
        <v>0.86777448654174805</v>
      </c>
      <c r="I41" s="254">
        <f t="shared" si="0"/>
        <v>1.0319836139678955</v>
      </c>
      <c r="J41"/>
    </row>
    <row r="42" spans="1:10" ht="15" customHeight="1" x14ac:dyDescent="0.3">
      <c r="A42" s="5">
        <v>4</v>
      </c>
      <c r="B42" s="7" t="s">
        <v>58</v>
      </c>
      <c r="C42" s="260">
        <f>_xlfn.XLOOKUP(B42,[10]Summary!$A$2:$A$59,[10]Summary!$C$2:$C$59)</f>
        <v>0.77469921112060547</v>
      </c>
      <c r="D42" s="260">
        <f>_xlfn.XLOOKUP(B42,[10]Summary!$A$2:$A$59,[10]Summary!$B$2:$B$59)</f>
        <v>0.22530075907707214</v>
      </c>
      <c r="E42" s="260" t="str">
        <f>_xlfn.XLOOKUP(B42,[10]Summary!$A$2:$A$59,[10]Summary!$D$2:$D$59)</f>
        <v>no</v>
      </c>
      <c r="F42" s="254">
        <f>_xlfn.XLOOKUP(B42,[10]Summary!$A$2:$A$59,[10]Summary!$F$2:$F$59)</f>
        <v>1.1494022607803345</v>
      </c>
      <c r="G42" s="254">
        <f>_xlfn.XLOOKUP(B42,[10]Summary!$A$2:$A$59,[10]Summary!$E$2:$E$59)</f>
        <v>1.0450745820999146</v>
      </c>
      <c r="H42" s="254">
        <f>_xlfn.XLOOKUP(B42,[10]Summary!$A$2:$A$59,[10]Summary!$G$2:$G$59)</f>
        <v>1.0972384214401245</v>
      </c>
      <c r="I42" s="254">
        <f t="shared" si="0"/>
        <v>1.1494022607803345</v>
      </c>
      <c r="J42"/>
    </row>
    <row r="43" spans="1:10" ht="15" customHeight="1" x14ac:dyDescent="0.3">
      <c r="A43" s="5">
        <v>4</v>
      </c>
      <c r="B43" s="6" t="s">
        <v>59</v>
      </c>
      <c r="C43" s="260">
        <f>_xlfn.XLOOKUP(B43,[10]Summary!$A$2:$A$59,[10]Summary!$C$2:$C$59)</f>
        <v>0.83810901641845703</v>
      </c>
      <c r="D43" s="260">
        <f>_xlfn.XLOOKUP(B43,[10]Summary!$A$2:$A$59,[10]Summary!$B$2:$B$59)</f>
        <v>0.16189102828502655</v>
      </c>
      <c r="E43" s="260" t="str">
        <f>_xlfn.XLOOKUP(B43,[10]Summary!$A$2:$A$59,[10]Summary!$D$2:$D$59)</f>
        <v>no</v>
      </c>
      <c r="F43" s="254">
        <f>_xlfn.XLOOKUP(B43,[10]Summary!$A$2:$A$59,[10]Summary!$F$2:$F$59)</f>
        <v>1.190160870552063</v>
      </c>
      <c r="G43" s="254">
        <f>_xlfn.XLOOKUP(B43,[10]Summary!$A$2:$A$59,[10]Summary!$E$2:$E$59)</f>
        <v>1.1031423807144165</v>
      </c>
      <c r="H43" s="254">
        <f>_xlfn.XLOOKUP(B43,[10]Summary!$A$2:$A$59,[10]Summary!$G$2:$G$59)</f>
        <v>1.1466516256332397</v>
      </c>
      <c r="I43" s="254">
        <f t="shared" si="0"/>
        <v>1.190160870552063</v>
      </c>
      <c r="J43"/>
    </row>
    <row r="44" spans="1:10" ht="15" customHeight="1" x14ac:dyDescent="0.3">
      <c r="A44" s="5">
        <v>3</v>
      </c>
      <c r="B44" s="7" t="s">
        <v>60</v>
      </c>
      <c r="C44" s="260">
        <f>_xlfn.XLOOKUP(B44,[10]Summary!$A$2:$A$59,[10]Summary!$C$2:$C$59)</f>
        <v>0.58986121416091919</v>
      </c>
      <c r="D44" s="260">
        <f>_xlfn.XLOOKUP(B44,[10]Summary!$A$2:$A$59,[10]Summary!$B$2:$B$59)</f>
        <v>0.41013878583908081</v>
      </c>
      <c r="E44" s="260" t="str">
        <f>_xlfn.XLOOKUP(B44,[10]Summary!$A$2:$A$59,[10]Summary!$D$2:$D$59)</f>
        <v>no</v>
      </c>
      <c r="F44" s="254">
        <f>_xlfn.XLOOKUP(B44,[10]Summary!$A$2:$A$59,[10]Summary!$F$2:$F$59)</f>
        <v>1.7261735200881958</v>
      </c>
      <c r="G44" s="254">
        <f>_xlfn.XLOOKUP(B44,[10]Summary!$A$2:$A$59,[10]Summary!$E$2:$E$59)</f>
        <v>1.5989595651626587</v>
      </c>
      <c r="H44" s="254">
        <f>_xlfn.XLOOKUP(B44,[10]Summary!$A$2:$A$59,[10]Summary!$G$2:$G$59)</f>
        <v>1.6625665426254272</v>
      </c>
      <c r="I44" s="254">
        <f t="shared" si="0"/>
        <v>1.7261735200881958</v>
      </c>
      <c r="J44"/>
    </row>
    <row r="45" spans="1:10" ht="15" customHeight="1" x14ac:dyDescent="0.3">
      <c r="A45" s="5">
        <v>3</v>
      </c>
      <c r="B45" s="7" t="s">
        <v>45</v>
      </c>
      <c r="C45" s="260">
        <f>_xlfn.XLOOKUP(B45,[10]Summary!$A$2:$A$59,[10]Summary!$C$2:$C$59)</f>
        <v>0.7109408974647522</v>
      </c>
      <c r="D45" s="260">
        <f>_xlfn.XLOOKUP(B45,[10]Summary!$A$2:$A$59,[10]Summary!$B$2:$B$59)</f>
        <v>0.28905907273292542</v>
      </c>
      <c r="E45" s="260" t="str">
        <f>_xlfn.XLOOKUP(B45,[10]Summary!$A$2:$A$59,[10]Summary!$D$2:$D$59)</f>
        <v>no</v>
      </c>
      <c r="F45" s="254">
        <f>_xlfn.XLOOKUP(B45,[10]Summary!$A$2:$A$59,[10]Summary!$F$2:$F$59)</f>
        <v>1.0693366527557373</v>
      </c>
      <c r="G45" s="254">
        <f>_xlfn.XLOOKUP(B45,[10]Summary!$A$2:$A$59,[10]Summary!$E$2:$E$59)</f>
        <v>1.0429409742355347</v>
      </c>
      <c r="H45" s="254">
        <f>_xlfn.XLOOKUP(B45,[10]Summary!$A$2:$A$59,[10]Summary!$G$2:$G$59)</f>
        <v>1.0561387538909912</v>
      </c>
      <c r="I45" s="254">
        <f t="shared" si="0"/>
        <v>1.0693366527557373</v>
      </c>
      <c r="J45"/>
    </row>
    <row r="46" spans="1:10" ht="15" customHeight="1" x14ac:dyDescent="0.3">
      <c r="A46" s="5">
        <v>2</v>
      </c>
      <c r="B46" s="6" t="s">
        <v>32</v>
      </c>
      <c r="C46" s="260">
        <f>_xlfn.XLOOKUP(B46,[10]Summary!$A$2:$A$59,[10]Summary!$C$2:$C$59)</f>
        <v>0.56027048826217651</v>
      </c>
      <c r="D46" s="260">
        <f>_xlfn.XLOOKUP(B46,[10]Summary!$A$2:$A$59,[10]Summary!$B$2:$B$59)</f>
        <v>0.4397294819355011</v>
      </c>
      <c r="E46" s="260" t="str">
        <f>_xlfn.XLOOKUP(B46,[10]Summary!$A$2:$A$59,[10]Summary!$D$2:$D$59)</f>
        <v>no</v>
      </c>
      <c r="F46" s="254">
        <f>_xlfn.XLOOKUP(B46,[10]Summary!$A$2:$A$59,[10]Summary!$F$2:$F$59)</f>
        <v>1.0155090093612671</v>
      </c>
      <c r="G46" s="254">
        <f>_xlfn.XLOOKUP(B46,[10]Summary!$A$2:$A$59,[10]Summary!$E$2:$E$59)</f>
        <v>1.0366636514663696</v>
      </c>
      <c r="H46" s="254">
        <f>_xlfn.XLOOKUP(B46,[10]Summary!$A$2:$A$59,[10]Summary!$G$2:$G$59)</f>
        <v>1.0260863304138184</v>
      </c>
      <c r="I46" s="254">
        <f t="shared" si="0"/>
        <v>1.0155090093612671</v>
      </c>
      <c r="J46"/>
    </row>
    <row r="47" spans="1:10" ht="15" customHeight="1" x14ac:dyDescent="0.3">
      <c r="A47" s="5">
        <v>3</v>
      </c>
      <c r="B47" s="7" t="s">
        <v>46</v>
      </c>
      <c r="C47" s="260">
        <f>_xlfn.XLOOKUP(B47,[10]Summary!$A$2:$A$59,[10]Summary!$C$2:$C$59)</f>
        <v>0.96352946758270264</v>
      </c>
      <c r="D47" s="260">
        <f>_xlfn.XLOOKUP(B47,[10]Summary!$A$2:$A$59,[10]Summary!$B$2:$B$59)</f>
        <v>3.6470547318458557E-2</v>
      </c>
      <c r="E47" s="260" t="str">
        <f>_xlfn.XLOOKUP(B47,[10]Summary!$A$2:$A$59,[10]Summary!$D$2:$D$59)</f>
        <v>no</v>
      </c>
      <c r="F47" s="254">
        <f>_xlfn.XLOOKUP(B47,[10]Summary!$A$2:$A$59,[10]Summary!$F$2:$F$59)</f>
        <v>1.5910121202468872</v>
      </c>
      <c r="G47" s="254">
        <f>_xlfn.XLOOKUP(B47,[10]Summary!$A$2:$A$59,[10]Summary!$E$2:$E$59)</f>
        <v>0.84428024291992188</v>
      </c>
      <c r="H47" s="254">
        <f>_xlfn.XLOOKUP(B47,[10]Summary!$A$2:$A$59,[10]Summary!$G$2:$G$59)</f>
        <v>1.2176461219787598</v>
      </c>
      <c r="I47" s="254">
        <f t="shared" si="0"/>
        <v>1.5910121202468872</v>
      </c>
      <c r="J47"/>
    </row>
    <row r="48" spans="1:10" ht="15" customHeight="1" x14ac:dyDescent="0.3">
      <c r="A48" s="5">
        <v>3</v>
      </c>
      <c r="B48" s="7" t="s">
        <v>47</v>
      </c>
      <c r="C48" s="260">
        <f>_xlfn.XLOOKUP(B48,[10]Summary!$A$2:$A$59,[10]Summary!$C$2:$C$59)</f>
        <v>0.9266059398651123</v>
      </c>
      <c r="D48" s="260">
        <f>_xlfn.XLOOKUP(B48,[10]Summary!$A$2:$A$59,[10]Summary!$B$2:$B$59)</f>
        <v>7.3394030332565308E-2</v>
      </c>
      <c r="E48" s="260" t="str">
        <f>_xlfn.XLOOKUP(B48,[10]Summary!$A$2:$A$59,[10]Summary!$D$2:$D$59)</f>
        <v>no</v>
      </c>
      <c r="F48" s="254">
        <f>_xlfn.XLOOKUP(B48,[10]Summary!$A$2:$A$59,[10]Summary!$F$2:$F$59)</f>
        <v>1.219468355178833</v>
      </c>
      <c r="G48" s="254">
        <f>_xlfn.XLOOKUP(B48,[10]Summary!$A$2:$A$59,[10]Summary!$E$2:$E$59)</f>
        <v>1.0061527490615845</v>
      </c>
      <c r="H48" s="254">
        <f>_xlfn.XLOOKUP(B48,[10]Summary!$A$2:$A$59,[10]Summary!$G$2:$G$59)</f>
        <v>1.1128106117248535</v>
      </c>
      <c r="I48" s="254">
        <f t="shared" si="0"/>
        <v>1.219468355178833</v>
      </c>
      <c r="J48"/>
    </row>
    <row r="49" spans="1:10" ht="15" customHeight="1" x14ac:dyDescent="0.3">
      <c r="A49" s="5">
        <v>4</v>
      </c>
      <c r="B49" s="6" t="s">
        <v>61</v>
      </c>
      <c r="C49" s="260">
        <f>_xlfn.XLOOKUP(B49,[10]Summary!$A$2:$A$59,[10]Summary!$C$2:$C$59)</f>
        <v>0.94282722473144531</v>
      </c>
      <c r="D49" s="260">
        <f>_xlfn.XLOOKUP(B49,[10]Summary!$A$2:$A$59,[10]Summary!$B$2:$B$59)</f>
        <v>5.71727454662323E-2</v>
      </c>
      <c r="E49" s="260" t="str">
        <f>_xlfn.XLOOKUP(B49,[10]Summary!$A$2:$A$59,[10]Summary!$D$2:$D$59)</f>
        <v>no</v>
      </c>
      <c r="F49" s="254">
        <f>_xlfn.XLOOKUP(B49,[10]Summary!$A$2:$A$59,[10]Summary!$F$2:$F$59)</f>
        <v>1.4707508087158203</v>
      </c>
      <c r="G49" s="254">
        <f>_xlfn.XLOOKUP(B49,[10]Summary!$A$2:$A$59,[10]Summary!$E$2:$E$59)</f>
        <v>1.0684064626693726</v>
      </c>
      <c r="H49" s="254">
        <f>_xlfn.XLOOKUP(B49,[10]Summary!$A$2:$A$59,[10]Summary!$G$2:$G$59)</f>
        <v>1.2695786952972412</v>
      </c>
      <c r="I49" s="254">
        <f t="shared" si="0"/>
        <v>1.4707508087158203</v>
      </c>
      <c r="J49"/>
    </row>
    <row r="50" spans="1:10" ht="15" customHeight="1" x14ac:dyDescent="0.3">
      <c r="A50" s="5">
        <v>2</v>
      </c>
      <c r="B50" s="7" t="s">
        <v>33</v>
      </c>
      <c r="C50" s="260">
        <f>_xlfn.XLOOKUP(B50,[10]Summary!$A$2:$A$59,[10]Summary!$C$2:$C$59)</f>
        <v>0.84472101926803589</v>
      </c>
      <c r="D50" s="260">
        <f>_xlfn.XLOOKUP(B50,[10]Summary!$A$2:$A$59,[10]Summary!$B$2:$B$59)</f>
        <v>0.1552790105342865</v>
      </c>
      <c r="E50" s="260" t="str">
        <f>_xlfn.XLOOKUP(B50,[10]Summary!$A$2:$A$59,[10]Summary!$D$2:$D$59)</f>
        <v>no</v>
      </c>
      <c r="F50" s="254">
        <f>_xlfn.XLOOKUP(B50,[10]Summary!$A$2:$A$59,[10]Summary!$F$2:$F$59)</f>
        <v>1.121679425239563</v>
      </c>
      <c r="G50" s="254">
        <f>_xlfn.XLOOKUP(B50,[10]Summary!$A$2:$A$59,[10]Summary!$E$2:$E$59)</f>
        <v>0.86751472949981689</v>
      </c>
      <c r="H50" s="254">
        <f>_xlfn.XLOOKUP(B50,[10]Summary!$A$2:$A$59,[10]Summary!$G$2:$G$59)</f>
        <v>0.99459707736968994</v>
      </c>
      <c r="I50" s="254">
        <f t="shared" si="0"/>
        <v>1.121679425239563</v>
      </c>
      <c r="J50"/>
    </row>
    <row r="51" spans="1:10" ht="15" customHeight="1" x14ac:dyDescent="0.3">
      <c r="A51" s="5">
        <v>2</v>
      </c>
      <c r="B51" s="7" t="s">
        <v>34</v>
      </c>
      <c r="C51" s="260">
        <f>_xlfn.XLOOKUP(B51,[10]Summary!$A$2:$A$59,[10]Summary!$C$2:$C$59)</f>
        <v>0.67542719841003418</v>
      </c>
      <c r="D51" s="260">
        <f>_xlfn.XLOOKUP(B51,[10]Summary!$A$2:$A$59,[10]Summary!$B$2:$B$59)</f>
        <v>0.32457277178764343</v>
      </c>
      <c r="E51" s="260" t="str">
        <f>_xlfn.XLOOKUP(B51,[10]Summary!$A$2:$A$59,[10]Summary!$D$2:$D$59)</f>
        <v>no</v>
      </c>
      <c r="F51" s="254">
        <f>_xlfn.XLOOKUP(B51,[10]Summary!$A$2:$A$59,[10]Summary!$F$2:$F$59)</f>
        <v>0.94034713506698608</v>
      </c>
      <c r="G51" s="254">
        <f>_xlfn.XLOOKUP(B51,[10]Summary!$A$2:$A$59,[10]Summary!$E$2:$E$59)</f>
        <v>1.0813899040222168</v>
      </c>
      <c r="H51" s="254">
        <f>_xlfn.XLOOKUP(B51,[10]Summary!$A$2:$A$59,[10]Summary!$G$2:$G$59)</f>
        <v>1.0108685493469238</v>
      </c>
      <c r="I51" s="254">
        <f t="shared" si="0"/>
        <v>0.94034713506698608</v>
      </c>
      <c r="J51"/>
    </row>
    <row r="52" spans="1:10" ht="15" customHeight="1" x14ac:dyDescent="0.3">
      <c r="A52" s="5">
        <v>1</v>
      </c>
      <c r="B52" s="6" t="s">
        <v>17</v>
      </c>
      <c r="C52" s="260">
        <f>_xlfn.XLOOKUP(B52,[10]Summary!$A$2:$A$59,[10]Summary!$C$2:$C$59)</f>
        <v>1</v>
      </c>
      <c r="D52" s="260">
        <f>_xlfn.XLOOKUP(B52,[10]Summary!$A$2:$A$59,[10]Summary!$B$2:$B$59)</f>
        <v>0</v>
      </c>
      <c r="E52" s="260" t="str">
        <f>_xlfn.XLOOKUP(B52,[10]Summary!$A$2:$A$59,[10]Summary!$D$2:$D$59)</f>
        <v>no</v>
      </c>
      <c r="F52" s="254">
        <f>_xlfn.XLOOKUP(B52,[10]Summary!$A$2:$A$59,[10]Summary!$F$2:$F$59)</f>
        <v>0.69722455739974976</v>
      </c>
      <c r="G52" s="254">
        <f>_xlfn.XLOOKUP(B52,[10]Summary!$A$2:$A$59,[10]Summary!$E$2:$E$59)</f>
        <v>0</v>
      </c>
      <c r="H52" s="254">
        <f>_xlfn.XLOOKUP(B52,[10]Summary!$A$2:$A$59,[10]Summary!$G$2:$G$59)</f>
        <v>0.69722455739974976</v>
      </c>
      <c r="I52" s="254">
        <f t="shared" si="0"/>
        <v>0.69722455739974976</v>
      </c>
      <c r="J52"/>
    </row>
    <row r="53" spans="1:10" ht="15" customHeight="1" x14ac:dyDescent="0.3">
      <c r="A53" s="5">
        <v>2</v>
      </c>
      <c r="B53" s="7" t="s">
        <v>35</v>
      </c>
      <c r="C53" s="260">
        <f>_xlfn.XLOOKUP(B53,[10]Summary!$A$2:$A$59,[10]Summary!$C$2:$C$59)</f>
        <v>0.7097662091255188</v>
      </c>
      <c r="D53" s="260">
        <f>_xlfn.XLOOKUP(B53,[10]Summary!$A$2:$A$59,[10]Summary!$B$2:$B$59)</f>
        <v>0.29023385047912598</v>
      </c>
      <c r="E53" s="260" t="str">
        <f>_xlfn.XLOOKUP(B53,[10]Summary!$A$2:$A$59,[10]Summary!$D$2:$D$59)</f>
        <v>no</v>
      </c>
      <c r="F53" s="254">
        <f>_xlfn.XLOOKUP(B53,[10]Summary!$A$2:$A$59,[10]Summary!$F$2:$F$59)</f>
        <v>0.69656801223754883</v>
      </c>
      <c r="G53" s="254">
        <f>_xlfn.XLOOKUP(B53,[10]Summary!$A$2:$A$59,[10]Summary!$E$2:$E$59)</f>
        <v>0.88684582710266113</v>
      </c>
      <c r="H53" s="254">
        <f>_xlfn.XLOOKUP(B53,[10]Summary!$A$2:$A$59,[10]Summary!$G$2:$G$59)</f>
        <v>0.79170691967010498</v>
      </c>
      <c r="I53" s="254">
        <f t="shared" si="0"/>
        <v>0.69656801223754883</v>
      </c>
      <c r="J53"/>
    </row>
    <row r="54" spans="1:10" ht="15" customHeight="1" x14ac:dyDescent="0.3">
      <c r="A54" s="5">
        <v>3</v>
      </c>
      <c r="B54" s="7" t="s">
        <v>48</v>
      </c>
      <c r="C54" s="260">
        <f>_xlfn.XLOOKUP(B54,[10]Summary!$A$2:$A$59,[10]Summary!$C$2:$C$59)</f>
        <v>0.67530512809753418</v>
      </c>
      <c r="D54" s="260">
        <f>_xlfn.XLOOKUP(B54,[10]Summary!$A$2:$A$59,[10]Summary!$B$2:$B$59)</f>
        <v>0.32469481229782104</v>
      </c>
      <c r="E54" s="260" t="str">
        <f>_xlfn.XLOOKUP(B54,[10]Summary!$A$2:$A$59,[10]Summary!$D$2:$D$59)</f>
        <v>no</v>
      </c>
      <c r="F54" s="254">
        <f>_xlfn.XLOOKUP(B54,[10]Summary!$A$2:$A$59,[10]Summary!$F$2:$F$59)</f>
        <v>1.1837702989578247</v>
      </c>
      <c r="G54" s="254">
        <f>_xlfn.XLOOKUP(B54,[10]Summary!$A$2:$A$59,[10]Summary!$E$2:$E$59)</f>
        <v>1.1127429008483887</v>
      </c>
      <c r="H54" s="254">
        <f>_xlfn.XLOOKUP(B54,[10]Summary!$A$2:$A$59,[10]Summary!$G$2:$G$59)</f>
        <v>1.1482565402984619</v>
      </c>
      <c r="I54" s="254">
        <f t="shared" si="0"/>
        <v>1.1837702989578247</v>
      </c>
      <c r="J54"/>
    </row>
    <row r="55" spans="1:10" ht="15" customHeight="1" x14ac:dyDescent="0.3">
      <c r="A55" s="5">
        <v>3</v>
      </c>
      <c r="B55" s="6" t="s">
        <v>49</v>
      </c>
      <c r="C55" s="260">
        <f>_xlfn.XLOOKUP(B55,[10]Summary!$A$2:$A$59,[10]Summary!$C$2:$C$59)</f>
        <v>0.89271050691604614</v>
      </c>
      <c r="D55" s="260">
        <f>_xlfn.XLOOKUP(B55,[10]Summary!$A$2:$A$59,[10]Summary!$B$2:$B$59)</f>
        <v>0.10728947818279266</v>
      </c>
      <c r="E55" s="260" t="str">
        <f>_xlfn.XLOOKUP(B55,[10]Summary!$A$2:$A$59,[10]Summary!$D$2:$D$59)</f>
        <v>no</v>
      </c>
      <c r="F55" s="254">
        <f>_xlfn.XLOOKUP(B55,[10]Summary!$A$2:$A$59,[10]Summary!$F$2:$F$59)</f>
        <v>1.2040615081787109</v>
      </c>
      <c r="G55" s="254">
        <f>_xlfn.XLOOKUP(B55,[10]Summary!$A$2:$A$59,[10]Summary!$E$2:$E$59)</f>
        <v>1.1148256063461304</v>
      </c>
      <c r="H55" s="254">
        <f>_xlfn.XLOOKUP(B55,[10]Summary!$A$2:$A$59,[10]Summary!$G$2:$G$59)</f>
        <v>1.1594436168670654</v>
      </c>
      <c r="I55" s="254">
        <f t="shared" si="0"/>
        <v>1.2040615081787109</v>
      </c>
      <c r="J55"/>
    </row>
    <row r="56" spans="1:10" ht="15" customHeight="1" x14ac:dyDescent="0.3">
      <c r="A56" s="5">
        <v>3</v>
      </c>
      <c r="B56" s="7" t="s">
        <v>50</v>
      </c>
      <c r="C56" s="260">
        <f>_xlfn.XLOOKUP(B56,[10]Summary!$A$2:$A$59,[10]Summary!$C$2:$C$59)</f>
        <v>0.96420001983642578</v>
      </c>
      <c r="D56" s="260">
        <f>_xlfn.XLOOKUP(B56,[10]Summary!$A$2:$A$59,[10]Summary!$B$2:$B$59)</f>
        <v>3.5799972712993622E-2</v>
      </c>
      <c r="E56" s="260" t="str">
        <f>_xlfn.XLOOKUP(B56,[10]Summary!$A$2:$A$59,[10]Summary!$D$2:$D$59)</f>
        <v>no</v>
      </c>
      <c r="F56" s="254">
        <f>_xlfn.XLOOKUP(B56,[10]Summary!$A$2:$A$59,[10]Summary!$F$2:$F$59)</f>
        <v>1.0330866575241089</v>
      </c>
      <c r="G56" s="254">
        <f>_xlfn.XLOOKUP(B56,[10]Summary!$A$2:$A$59,[10]Summary!$E$2:$E$59)</f>
        <v>1.034808874130249</v>
      </c>
      <c r="H56" s="254">
        <f>_xlfn.XLOOKUP(B56,[10]Summary!$A$2:$A$59,[10]Summary!$G$2:$G$59)</f>
        <v>1.0339477062225342</v>
      </c>
      <c r="I56" s="254">
        <f t="shared" si="0"/>
        <v>1.0330866575241089</v>
      </c>
      <c r="J56"/>
    </row>
    <row r="57" spans="1:10" ht="15" customHeight="1" x14ac:dyDescent="0.3">
      <c r="A57" s="5">
        <v>2</v>
      </c>
      <c r="B57" s="7" t="s">
        <v>36</v>
      </c>
      <c r="C57" s="260">
        <f>_xlfn.XLOOKUP(B57,[10]Summary!$A$2:$A$59,[10]Summary!$C$2:$C$59)</f>
        <v>0.93915456533432007</v>
      </c>
      <c r="D57" s="260">
        <f>_xlfn.XLOOKUP(B57,[10]Summary!$A$2:$A$59,[10]Summary!$B$2:$B$59)</f>
        <v>6.0845430940389633E-2</v>
      </c>
      <c r="E57" s="260" t="str">
        <f>_xlfn.XLOOKUP(B57,[10]Summary!$A$2:$A$59,[10]Summary!$D$2:$D$59)</f>
        <v>no</v>
      </c>
      <c r="F57" s="254">
        <f>_xlfn.XLOOKUP(B57,[10]Summary!$A$2:$A$59,[10]Summary!$F$2:$F$59)</f>
        <v>0.9477086067199707</v>
      </c>
      <c r="G57" s="254">
        <f>_xlfn.XLOOKUP(B57,[10]Summary!$A$2:$A$59,[10]Summary!$E$2:$E$59)</f>
        <v>1.1668277978897095</v>
      </c>
      <c r="H57" s="254">
        <f>_xlfn.XLOOKUP(B57,[10]Summary!$A$2:$A$59,[10]Summary!$G$2:$G$59)</f>
        <v>1.0572681427001953</v>
      </c>
      <c r="I57" s="254">
        <f t="shared" si="0"/>
        <v>0.9477086067199707</v>
      </c>
      <c r="J57"/>
    </row>
    <row r="58" spans="1:10" ht="15" customHeight="1" x14ac:dyDescent="0.3">
      <c r="A58" s="5">
        <v>2</v>
      </c>
      <c r="B58" s="6" t="s">
        <v>37</v>
      </c>
      <c r="C58" s="260">
        <f>_xlfn.XLOOKUP(B58,[10]Summary!$A$2:$A$59,[10]Summary!$C$2:$C$59)</f>
        <v>0.67659574747085571</v>
      </c>
      <c r="D58" s="260">
        <f>_xlfn.XLOOKUP(B58,[10]Summary!$A$2:$A$59,[10]Summary!$B$2:$B$59)</f>
        <v>0.32340425252914429</v>
      </c>
      <c r="E58" s="260" t="str">
        <f>_xlfn.XLOOKUP(B58,[10]Summary!$A$2:$A$59,[10]Summary!$D$2:$D$59)</f>
        <v>no</v>
      </c>
      <c r="F58" s="254">
        <f>_xlfn.XLOOKUP(B58,[10]Summary!$A$2:$A$59,[10]Summary!$F$2:$F$59)</f>
        <v>0.78663307428359985</v>
      </c>
      <c r="G58" s="254">
        <f>_xlfn.XLOOKUP(B58,[10]Summary!$A$2:$A$59,[10]Summary!$E$2:$E$59)</f>
        <v>0.9651065468788147</v>
      </c>
      <c r="H58" s="254">
        <f>_xlfn.XLOOKUP(B58,[10]Summary!$A$2:$A$59,[10]Summary!$G$2:$G$59)</f>
        <v>0.87586981058120728</v>
      </c>
      <c r="I58" s="254">
        <f t="shared" si="0"/>
        <v>0.78663307428359985</v>
      </c>
      <c r="J58"/>
    </row>
    <row r="59" spans="1:10" ht="15" customHeight="1" x14ac:dyDescent="0.3">
      <c r="A59" s="5">
        <v>1</v>
      </c>
      <c r="B59" s="7" t="s">
        <v>18</v>
      </c>
      <c r="C59" s="260">
        <f>_xlfn.XLOOKUP(B59,[10]Summary!$A$2:$A$59,[10]Summary!$C$2:$C$59)</f>
        <v>0.93026596307754517</v>
      </c>
      <c r="D59" s="260">
        <f>_xlfn.XLOOKUP(B59,[10]Summary!$A$2:$A$59,[10]Summary!$B$2:$B$59)</f>
        <v>6.9733999669551849E-2</v>
      </c>
      <c r="E59" s="260" t="str">
        <f>_xlfn.XLOOKUP(B59,[10]Summary!$A$2:$A$59,[10]Summary!$D$2:$D$59)</f>
        <v>no</v>
      </c>
      <c r="F59" s="254">
        <f>_xlfn.XLOOKUP(B59,[10]Summary!$A$2:$A$59,[10]Summary!$F$2:$F$59)</f>
        <v>0.76225161552429199</v>
      </c>
      <c r="G59" s="254">
        <f>_xlfn.XLOOKUP(B59,[10]Summary!$A$2:$A$59,[10]Summary!$E$2:$E$59)</f>
        <v>0.97413367033004761</v>
      </c>
      <c r="H59" s="254">
        <f>_xlfn.XLOOKUP(B59,[10]Summary!$A$2:$A$59,[10]Summary!$G$2:$G$59)</f>
        <v>0.86819267272949219</v>
      </c>
      <c r="I59" s="254">
        <f t="shared" si="0"/>
        <v>0.76225161552429199</v>
      </c>
      <c r="J59"/>
    </row>
    <row r="60" spans="1:10" ht="15" customHeight="1" x14ac:dyDescent="0.3">
      <c r="A60" s="5">
        <v>3</v>
      </c>
      <c r="B60" s="7" t="s">
        <v>51</v>
      </c>
      <c r="C60" s="260">
        <f>_xlfn.XLOOKUP(B60,[10]Summary!$A$2:$A$59,[10]Summary!$C$2:$C$59)</f>
        <v>0.93377870321273804</v>
      </c>
      <c r="D60" s="260">
        <f>_xlfn.XLOOKUP(B60,[10]Summary!$A$2:$A$59,[10]Summary!$B$2:$B$59)</f>
        <v>6.6221289336681366E-2</v>
      </c>
      <c r="E60" s="260" t="str">
        <f>_xlfn.XLOOKUP(B60,[10]Summary!$A$2:$A$59,[10]Summary!$D$2:$D$59)</f>
        <v>no</v>
      </c>
      <c r="F60" s="254">
        <f>_xlfn.XLOOKUP(B60,[10]Summary!$A$2:$A$59,[10]Summary!$F$2:$F$59)</f>
        <v>0.95172452926635742</v>
      </c>
      <c r="G60" s="254">
        <f>_xlfn.XLOOKUP(B60,[10]Summary!$A$2:$A$59,[10]Summary!$E$2:$E$59)</f>
        <v>0.86810117959976196</v>
      </c>
      <c r="H60" s="254">
        <f>_xlfn.XLOOKUP(B60,[10]Summary!$A$2:$A$59,[10]Summary!$G$2:$G$59)</f>
        <v>0.9099128246307373</v>
      </c>
      <c r="I60" s="254">
        <f t="shared" si="0"/>
        <v>0.95172452926635742</v>
      </c>
      <c r="J60"/>
    </row>
    <row r="61" spans="1:10" ht="15" customHeight="1" x14ac:dyDescent="0.3">
      <c r="A61" s="5">
        <v>2</v>
      </c>
      <c r="B61" s="6" t="s">
        <v>38</v>
      </c>
      <c r="C61" s="260">
        <f>_xlfn.XLOOKUP(B61,[10]Summary!$A$2:$A$59,[10]Summary!$C$2:$C$59)</f>
        <v>0.50690025091171265</v>
      </c>
      <c r="D61" s="260">
        <f>_xlfn.XLOOKUP(B61,[10]Summary!$A$2:$A$59,[10]Summary!$B$2:$B$59)</f>
        <v>0.49309977889060974</v>
      </c>
      <c r="E61" s="260" t="str">
        <f>_xlfn.XLOOKUP(B61,[10]Summary!$A$2:$A$59,[10]Summary!$D$2:$D$59)</f>
        <v>no</v>
      </c>
      <c r="F61" s="254">
        <f>_xlfn.XLOOKUP(B61,[10]Summary!$A$2:$A$59,[10]Summary!$F$2:$F$59)</f>
        <v>0.83219724893569946</v>
      </c>
      <c r="G61" s="254">
        <f>_xlfn.XLOOKUP(B61,[10]Summary!$A$2:$A$59,[10]Summary!$E$2:$E$59)</f>
        <v>0.90615701675415039</v>
      </c>
      <c r="H61" s="254">
        <f>_xlfn.XLOOKUP(B61,[10]Summary!$A$2:$A$59,[10]Summary!$G$2:$G$59)</f>
        <v>0.86917710304260254</v>
      </c>
      <c r="I61" s="254">
        <f t="shared" si="0"/>
        <v>0.83219724893569946</v>
      </c>
      <c r="J61"/>
    </row>
    <row r="62" spans="1:10" ht="15" customHeight="1" x14ac:dyDescent="0.3">
      <c r="A62" s="5">
        <v>3</v>
      </c>
      <c r="B62" s="7" t="s">
        <v>52</v>
      </c>
      <c r="C62" s="260">
        <f>_xlfn.XLOOKUP(B62,[10]Summary!$A$2:$A$59,[10]Summary!$C$2:$C$59)</f>
        <v>0.93143767118453979</v>
      </c>
      <c r="D62" s="260">
        <f>_xlfn.XLOOKUP(B62,[10]Summary!$A$2:$A$59,[10]Summary!$B$2:$B$59)</f>
        <v>6.8562343716621399E-2</v>
      </c>
      <c r="E62" s="260" t="str">
        <f>_xlfn.XLOOKUP(B62,[10]Summary!$A$2:$A$59,[10]Summary!$D$2:$D$59)</f>
        <v>no</v>
      </c>
      <c r="F62" s="254">
        <f>_xlfn.XLOOKUP(B62,[10]Summary!$A$2:$A$59,[10]Summary!$F$2:$F$59)</f>
        <v>1.2475881576538086</v>
      </c>
      <c r="G62" s="254">
        <f>_xlfn.XLOOKUP(B62,[10]Summary!$A$2:$A$59,[10]Summary!$E$2:$E$59)</f>
        <v>1.0453433990478516</v>
      </c>
      <c r="H62" s="254">
        <f>_xlfn.XLOOKUP(B62,[10]Summary!$A$2:$A$59,[10]Summary!$G$2:$G$59)</f>
        <v>1.1464657783508301</v>
      </c>
      <c r="I62" s="254">
        <f t="shared" si="0"/>
        <v>1.2475881576538086</v>
      </c>
      <c r="J62"/>
    </row>
    <row r="63" spans="1:10" ht="15" customHeight="1" x14ac:dyDescent="0.3">
      <c r="A63" s="5">
        <v>2</v>
      </c>
      <c r="B63" s="7" t="s">
        <v>39</v>
      </c>
      <c r="C63" s="260">
        <f>_xlfn.XLOOKUP(B63,[10]Summary!$A$2:$A$59,[10]Summary!$C$2:$C$59)</f>
        <v>0.48189353942871094</v>
      </c>
      <c r="D63" s="260">
        <f>_xlfn.XLOOKUP(B63,[10]Summary!$A$2:$A$59,[10]Summary!$B$2:$B$59)</f>
        <v>0.51810646057128906</v>
      </c>
      <c r="E63" s="260" t="str">
        <f>_xlfn.XLOOKUP(B63,[10]Summary!$A$2:$A$59,[10]Summary!$D$2:$D$59)</f>
        <v>yes</v>
      </c>
      <c r="F63" s="254">
        <f>_xlfn.XLOOKUP(B63,[10]Summary!$A$2:$A$59,[10]Summary!$F$2:$F$59)</f>
        <v>1.0605075359344482</v>
      </c>
      <c r="G63" s="254">
        <f>_xlfn.XLOOKUP(B63,[10]Summary!$A$2:$A$59,[10]Summary!$E$2:$E$59)</f>
        <v>1.5156986713409424</v>
      </c>
      <c r="H63" s="254">
        <f>_xlfn.XLOOKUP(B63,[10]Summary!$A$2:$A$59,[10]Summary!$G$2:$G$59)</f>
        <v>1.2881031036376953</v>
      </c>
      <c r="I63" s="254">
        <f t="shared" si="0"/>
        <v>1.2881031036376953</v>
      </c>
      <c r="J63"/>
    </row>
    <row r="64" spans="1:10" ht="15" customHeight="1" x14ac:dyDescent="0.3">
      <c r="A64" s="5">
        <v>2</v>
      </c>
      <c r="B64" s="6" t="s">
        <v>40</v>
      </c>
      <c r="C64" s="260">
        <f>_xlfn.XLOOKUP(B64,[10]Summary!$A$2:$A$59,[10]Summary!$C$2:$C$59)</f>
        <v>0.49513214826583862</v>
      </c>
      <c r="D64" s="260">
        <f>_xlfn.XLOOKUP(B64,[10]Summary!$A$2:$A$59,[10]Summary!$B$2:$B$59)</f>
        <v>0.50486791133880615</v>
      </c>
      <c r="E64" s="260" t="str">
        <f>_xlfn.XLOOKUP(B64,[10]Summary!$A$2:$A$59,[10]Summary!$D$2:$D$59)</f>
        <v>yes</v>
      </c>
      <c r="F64" s="254">
        <f>_xlfn.XLOOKUP(B64,[10]Summary!$A$2:$A$59,[10]Summary!$F$2:$F$59)</f>
        <v>0.96661388874053955</v>
      </c>
      <c r="G64" s="254">
        <f>_xlfn.XLOOKUP(B64,[10]Summary!$A$2:$A$59,[10]Summary!$E$2:$E$59)</f>
        <v>1.4608711004257202</v>
      </c>
      <c r="H64" s="254">
        <f>_xlfn.XLOOKUP(B64,[10]Summary!$A$2:$A$59,[10]Summary!$G$2:$G$59)</f>
        <v>1.2137424945831299</v>
      </c>
      <c r="I64" s="254">
        <f t="shared" si="0"/>
        <v>1.2137424945831299</v>
      </c>
      <c r="J64"/>
    </row>
    <row r="65" spans="2:9" x14ac:dyDescent="0.3">
      <c r="E65" s="143"/>
      <c r="I65" s="144"/>
    </row>
    <row r="66" spans="2:9" x14ac:dyDescent="0.3">
      <c r="B66" s="145" t="s">
        <v>235</v>
      </c>
      <c r="C66" s="229"/>
    </row>
    <row r="67" spans="2:9" x14ac:dyDescent="0.3">
      <c r="B67" s="258"/>
    </row>
  </sheetData>
  <mergeCells count="3">
    <mergeCell ref="A5:A6"/>
    <mergeCell ref="B5:B6"/>
    <mergeCell ref="F4:H4"/>
  </mergeCells>
  <conditionalFormatting sqref="E5">
    <cfRule type="containsText" dxfId="3" priority="5" operator="containsText" text="Yes">
      <formula>NOT(ISERROR(SEARCH("Yes",E5)))</formula>
    </cfRule>
  </conditionalFormatting>
  <conditionalFormatting sqref="E7:H64">
    <cfRule type="cellIs" dxfId="2" priority="1" operator="equal">
      <formula>"yes"</formula>
    </cfRule>
  </conditionalFormatting>
  <printOptions horizontalCentered="1"/>
  <pageMargins left="0.25" right="0.25" top="0.5" bottom="0.5" header="0.3" footer="0.3"/>
  <pageSetup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9" tint="0.39997558519241921"/>
    <pageSetUpPr fitToPage="1"/>
  </sheetPr>
  <dimension ref="A1:T68"/>
  <sheetViews>
    <sheetView view="pageBreakPreview" zoomScaleNormal="85" zoomScaleSheetLayoutView="100" workbookViewId="0">
      <pane xSplit="1" ySplit="6" topLeftCell="B7" activePane="bottomRight" state="frozen"/>
      <selection pane="topRight" activeCell="B1" sqref="B1"/>
      <selection pane="bottomLeft" activeCell="A7" sqref="A7"/>
      <selection pane="bottomRight"/>
    </sheetView>
  </sheetViews>
  <sheetFormatPr defaultColWidth="9.21875" defaultRowHeight="14.4" x14ac:dyDescent="0.3"/>
  <cols>
    <col min="1" max="1" width="15.77734375" style="101" customWidth="1"/>
    <col min="2" max="2" width="1.77734375" style="53" customWidth="1"/>
    <col min="3" max="3" width="11.21875" style="101" customWidth="1"/>
    <col min="4" max="4" width="9.77734375" style="101" customWidth="1"/>
    <col min="5" max="5" width="9.21875" style="101" bestFit="1" customWidth="1"/>
    <col min="6" max="6" width="8.6640625" style="101" bestFit="1" customWidth="1"/>
    <col min="7" max="7" width="10.21875" style="101" customWidth="1"/>
    <col min="8" max="8" width="9.21875" style="101" customWidth="1"/>
    <col min="9" max="9" width="10.77734375" style="101" bestFit="1" customWidth="1"/>
    <col min="10" max="10" width="11.77734375" style="101" customWidth="1"/>
    <col min="11" max="11" width="11.21875" style="101" customWidth="1"/>
    <col min="12" max="12" width="12.77734375" style="101" customWidth="1"/>
    <col min="13" max="13" width="12.5546875" style="105" customWidth="1"/>
    <col min="14" max="14" width="1.77734375" style="53" customWidth="1"/>
    <col min="15" max="16" width="12.77734375" style="101" customWidth="1"/>
    <col min="17" max="17" width="12.77734375" style="105" customWidth="1"/>
    <col min="18" max="18" width="1.77734375" style="53" customWidth="1"/>
    <col min="19" max="19" width="12.77734375" style="105" customWidth="1"/>
    <col min="20" max="20" width="16.44140625" style="101" customWidth="1"/>
    <col min="21" max="16384" width="9.21875" style="102"/>
  </cols>
  <sheetData>
    <row r="1" spans="1:20" ht="20.100000000000001" customHeight="1" x14ac:dyDescent="0.3">
      <c r="A1" s="48" t="s">
        <v>236</v>
      </c>
      <c r="B1" s="100"/>
      <c r="T1" s="102"/>
    </row>
    <row r="2" spans="1:20" ht="20.100000000000001" customHeight="1" x14ac:dyDescent="0.3">
      <c r="A2" s="49" t="s">
        <v>245</v>
      </c>
      <c r="B2" s="51"/>
      <c r="F2" s="103"/>
      <c r="G2" s="103"/>
      <c r="H2" s="103"/>
      <c r="I2" s="103"/>
      <c r="J2" s="103"/>
      <c r="K2" s="103"/>
      <c r="L2" s="103"/>
      <c r="M2" s="103"/>
      <c r="N2" s="51"/>
      <c r="O2" s="103"/>
      <c r="P2" s="103"/>
      <c r="Q2" s="103"/>
      <c r="R2" s="51"/>
      <c r="S2" s="103"/>
      <c r="T2" s="102"/>
    </row>
    <row r="3" spans="1:20" ht="20.100000000000001" customHeight="1" x14ac:dyDescent="0.3">
      <c r="A3" s="104"/>
      <c r="B3" s="51"/>
      <c r="N3" s="51"/>
      <c r="R3" s="51"/>
    </row>
    <row r="4" spans="1:20" ht="20.100000000000001" customHeight="1" x14ac:dyDescent="0.3">
      <c r="A4" s="76"/>
      <c r="B4" s="81"/>
      <c r="C4" s="281" t="s">
        <v>87</v>
      </c>
      <c r="D4" s="281"/>
      <c r="E4" s="281"/>
      <c r="F4" s="281"/>
      <c r="G4" s="281"/>
      <c r="H4" s="281"/>
      <c r="I4" s="281"/>
      <c r="J4" s="281"/>
      <c r="K4" s="281"/>
      <c r="L4" s="281"/>
      <c r="M4" s="281"/>
      <c r="N4" s="81"/>
      <c r="O4" s="279" t="s">
        <v>88</v>
      </c>
      <c r="P4" s="280"/>
      <c r="Q4" s="280"/>
      <c r="R4" s="81"/>
      <c r="S4" s="106"/>
      <c r="T4" s="107"/>
    </row>
    <row r="5" spans="1:20" s="109" customFormat="1" ht="69" x14ac:dyDescent="0.3">
      <c r="A5" s="282" t="s">
        <v>63</v>
      </c>
      <c r="B5" s="81"/>
      <c r="C5" s="115" t="s">
        <v>89</v>
      </c>
      <c r="D5" s="115" t="s">
        <v>90</v>
      </c>
      <c r="E5" s="115" t="s">
        <v>91</v>
      </c>
      <c r="F5" s="115" t="s">
        <v>164</v>
      </c>
      <c r="G5" s="115" t="s">
        <v>179</v>
      </c>
      <c r="H5" s="115" t="s">
        <v>92</v>
      </c>
      <c r="I5" s="115" t="s">
        <v>160</v>
      </c>
      <c r="J5" s="74" t="s">
        <v>165</v>
      </c>
      <c r="K5" s="74" t="s">
        <v>166</v>
      </c>
      <c r="L5" s="74" t="s">
        <v>167</v>
      </c>
      <c r="M5" s="75" t="s">
        <v>168</v>
      </c>
      <c r="N5" s="81"/>
      <c r="O5" s="73" t="s">
        <v>163</v>
      </c>
      <c r="P5" s="73" t="s">
        <v>170</v>
      </c>
      <c r="Q5" s="73" t="s">
        <v>169</v>
      </c>
      <c r="R5" s="81"/>
      <c r="S5" s="95" t="s">
        <v>226</v>
      </c>
      <c r="T5" s="108"/>
    </row>
    <row r="6" spans="1:20" s="109" customFormat="1" x14ac:dyDescent="0.3">
      <c r="A6" s="282"/>
      <c r="B6" s="82"/>
      <c r="C6" s="78" t="s">
        <v>65</v>
      </c>
      <c r="D6" s="78" t="s">
        <v>1</v>
      </c>
      <c r="E6" s="78" t="s">
        <v>66</v>
      </c>
      <c r="F6" s="78" t="s">
        <v>2</v>
      </c>
      <c r="G6" s="78" t="s">
        <v>3</v>
      </c>
      <c r="H6" s="78" t="s">
        <v>83</v>
      </c>
      <c r="I6" s="78" t="s">
        <v>114</v>
      </c>
      <c r="J6" s="78" t="s">
        <v>113</v>
      </c>
      <c r="K6" s="78" t="s">
        <v>84</v>
      </c>
      <c r="L6" s="78" t="s">
        <v>85</v>
      </c>
      <c r="M6" s="78" t="s">
        <v>115</v>
      </c>
      <c r="N6" s="82"/>
      <c r="O6" s="78" t="s">
        <v>116</v>
      </c>
      <c r="P6" s="78" t="s">
        <v>86</v>
      </c>
      <c r="Q6" s="78" t="s">
        <v>76</v>
      </c>
      <c r="R6" s="82"/>
      <c r="S6" s="78" t="s">
        <v>117</v>
      </c>
      <c r="T6" s="108"/>
    </row>
    <row r="7" spans="1:20" ht="20.100000000000001" customHeight="1" x14ac:dyDescent="0.3">
      <c r="A7" s="114" t="s">
        <v>53</v>
      </c>
      <c r="B7" s="81"/>
      <c r="C7" s="116">
        <f>_xlfn.XLOOKUP($A7,[11]Sheet1!$B$2:$B$59,[11]Sheet1!C$2:C$59)</f>
        <v>56.180065155029297</v>
      </c>
      <c r="D7" s="116">
        <f>_xlfn.XLOOKUP($A7,[11]Sheet1!$B$2:$B$59,[11]Sheet1!D$2:D$59)</f>
        <v>123.15265655517578</v>
      </c>
      <c r="E7" s="116">
        <f>_xlfn.XLOOKUP($A7,[11]Sheet1!$B$2:$B$59,[11]Sheet1!E$2:E$59)</f>
        <v>153.62849426269531</v>
      </c>
      <c r="F7" s="116">
        <f>_xlfn.XLOOKUP($A7,[11]Sheet1!$B$2:$B$59,[11]Sheet1!F$2:F$59)</f>
        <v>82.789352416992188</v>
      </c>
      <c r="G7" s="116">
        <f>_xlfn.XLOOKUP($A7,[11]Sheet1!$B$2:$B$59,[11]Sheet1!G$2:G$59)</f>
        <v>39.61810302734375</v>
      </c>
      <c r="H7" s="116">
        <f>_xlfn.XLOOKUP($A7,[11]Sheet1!$B$2:$B$59,[11]Sheet1!H$2:H$59)</f>
        <v>24.095767974853516</v>
      </c>
      <c r="I7" s="116">
        <f>_xlfn.XLOOKUP($A7,[11]Sheet1!$B$2:$B$59,[11]Sheet1!I$2:I$59)</f>
        <v>479.46444702148438</v>
      </c>
      <c r="J7" s="116">
        <f>_xlfn.XLOOKUP($A7,[11]Sheet1!$B$2:$B$59,[11]Sheet1!J$2:J$59)</f>
        <v>26</v>
      </c>
      <c r="K7" s="116">
        <f>_xlfn.XLOOKUP($A7,[11]Sheet1!$B$2:$B$59,[11]Sheet1!K$2:K$59)</f>
        <v>9.6000000000000014</v>
      </c>
      <c r="L7" s="116">
        <f>_xlfn.XLOOKUP($A7,[11]Sheet1!$B$2:$B$59,[11]Sheet1!L$2:L$59)</f>
        <v>52.652545928955078</v>
      </c>
      <c r="M7" s="116">
        <f>_xlfn.XLOOKUP($A7,[11]Sheet1!$B$2:$B$59,[11]Sheet1!M$2:M$59)</f>
        <v>533</v>
      </c>
      <c r="N7" s="81"/>
      <c r="O7" s="116">
        <f>_xlfn.XLOOKUP($A7,[11]Sheet1!$B$2:$B$59,[11]Sheet1!N$2:N$59)</f>
        <v>68</v>
      </c>
      <c r="P7" s="116">
        <f>_xlfn.XLOOKUP($A7,[11]Sheet1!$B$2:$B$59,[11]Sheet1!O$2:O$59)</f>
        <v>6.3000000000000007</v>
      </c>
      <c r="Q7" s="116">
        <f>_xlfn.XLOOKUP($A7,[11]Sheet1!$B$2:$B$59,[11]Sheet1!P$2:P$59)</f>
        <v>96</v>
      </c>
      <c r="R7" s="81"/>
      <c r="S7" s="116">
        <f>_xlfn.XLOOKUP($A7,[11]Sheet1!$B$2:$B$59,[11]Sheet1!Q$2:Q$59)</f>
        <v>629</v>
      </c>
    </row>
    <row r="8" spans="1:20" ht="20.100000000000001" customHeight="1" x14ac:dyDescent="0.3">
      <c r="A8" s="114" t="s">
        <v>4</v>
      </c>
      <c r="C8" s="116">
        <f>_xlfn.XLOOKUP($A8,[11]Sheet1!$B$2:$B$59,[11]Sheet1!C$2:C$59)</f>
        <v>0.65643852949142456</v>
      </c>
      <c r="D8" s="116">
        <f>_xlfn.XLOOKUP($A8,[11]Sheet1!$B$2:$B$59,[11]Sheet1!D$2:D$59)</f>
        <v>0.4234611988067627</v>
      </c>
      <c r="E8" s="116">
        <f>_xlfn.XLOOKUP($A8,[11]Sheet1!$B$2:$B$59,[11]Sheet1!E$2:E$59)</f>
        <v>0.1195489689707756</v>
      </c>
      <c r="F8" s="116">
        <f>_xlfn.XLOOKUP($A8,[11]Sheet1!$B$2:$B$59,[11]Sheet1!F$2:F$59)</f>
        <v>5.6798476725816727E-2</v>
      </c>
      <c r="G8" s="116">
        <f>_xlfn.XLOOKUP($A8,[11]Sheet1!$B$2:$B$59,[11]Sheet1!G$2:G$59)</f>
        <v>7.0081345736980438E-2</v>
      </c>
      <c r="H8" s="116">
        <f>_xlfn.XLOOKUP($A8,[11]Sheet1!$B$2:$B$59,[11]Sheet1!H$2:H$59)</f>
        <v>6.8945169448852539E-2</v>
      </c>
      <c r="I8" s="116">
        <f>_xlfn.XLOOKUP($A8,[11]Sheet1!$B$2:$B$59,[11]Sheet1!I$2:I$59)</f>
        <v>1.3952736854553223</v>
      </c>
      <c r="J8" s="116">
        <f>_xlfn.XLOOKUP($A8,[11]Sheet1!$B$2:$B$59,[11]Sheet1!J$2:J$59)</f>
        <v>0</v>
      </c>
      <c r="K8" s="116">
        <f>_xlfn.XLOOKUP($A8,[11]Sheet1!$B$2:$B$59,[11]Sheet1!K$2:K$59)</f>
        <v>6.6000000000000005</v>
      </c>
      <c r="L8" s="116">
        <f>_xlfn.XLOOKUP($A8,[11]Sheet1!$B$2:$B$59,[11]Sheet1!L$2:L$59)</f>
        <v>0.21140509843826294</v>
      </c>
      <c r="M8" s="116">
        <f>_xlfn.XLOOKUP($A8,[11]Sheet1!$B$2:$B$59,[11]Sheet1!M$2:M$59)</f>
        <v>2</v>
      </c>
      <c r="O8" s="116">
        <f>_xlfn.XLOOKUP($A8,[11]Sheet1!$B$2:$B$59,[11]Sheet1!N$2:N$59)</f>
        <v>1.0000000000000002</v>
      </c>
      <c r="P8" s="116">
        <f>_xlfn.XLOOKUP($A8,[11]Sheet1!$B$2:$B$59,[11]Sheet1!O$2:O$59)</f>
        <v>3.5</v>
      </c>
      <c r="Q8" s="116">
        <f>_xlfn.XLOOKUP($A8,[11]Sheet1!$B$2:$B$59,[11]Sheet1!P$2:P$59)</f>
        <v>1</v>
      </c>
      <c r="S8" s="116">
        <f>_xlfn.XLOOKUP($A8,[11]Sheet1!$B$2:$B$59,[11]Sheet1!Q$2:Q$59)</f>
        <v>3</v>
      </c>
    </row>
    <row r="9" spans="1:20" ht="20.100000000000001" customHeight="1" x14ac:dyDescent="0.3">
      <c r="A9" s="114" t="s">
        <v>5</v>
      </c>
      <c r="C9" s="116">
        <f>_xlfn.XLOOKUP($A9,[11]Sheet1!$B$2:$B$59,[11]Sheet1!C$2:C$59)</f>
        <v>1.2914408445358276</v>
      </c>
      <c r="D9" s="116">
        <f>_xlfn.XLOOKUP($A9,[11]Sheet1!$B$2:$B$59,[11]Sheet1!D$2:D$59)</f>
        <v>12.038965225219727</v>
      </c>
      <c r="E9" s="116">
        <f>_xlfn.XLOOKUP($A9,[11]Sheet1!$B$2:$B$59,[11]Sheet1!E$2:E$59)</f>
        <v>3.0477609634399414</v>
      </c>
      <c r="F9" s="116">
        <f>_xlfn.XLOOKUP($A9,[11]Sheet1!$B$2:$B$59,[11]Sheet1!F$2:F$59)</f>
        <v>3.7826893329620361</v>
      </c>
      <c r="G9" s="116">
        <f>_xlfn.XLOOKUP($A9,[11]Sheet1!$B$2:$B$59,[11]Sheet1!G$2:G$59)</f>
        <v>1.735201358795166</v>
      </c>
      <c r="H9" s="116">
        <f>_xlfn.XLOOKUP($A9,[11]Sheet1!$B$2:$B$59,[11]Sheet1!H$2:H$59)</f>
        <v>1.0446959733963013</v>
      </c>
      <c r="I9" s="116">
        <f>_xlfn.XLOOKUP($A9,[11]Sheet1!$B$2:$B$59,[11]Sheet1!I$2:I$59)</f>
        <v>22.940753936767578</v>
      </c>
      <c r="J9" s="116">
        <f>_xlfn.XLOOKUP($A9,[11]Sheet1!$B$2:$B$59,[11]Sheet1!J$2:J$59)</f>
        <v>0</v>
      </c>
      <c r="K9" s="116">
        <f>_xlfn.XLOOKUP($A9,[11]Sheet1!$B$2:$B$59,[11]Sheet1!K$2:K$59)</f>
        <v>6.6000000000000005</v>
      </c>
      <c r="L9" s="116">
        <f>_xlfn.XLOOKUP($A9,[11]Sheet1!$B$2:$B$59,[11]Sheet1!L$2:L$59)</f>
        <v>3.4758718013763428</v>
      </c>
      <c r="M9" s="116">
        <f>_xlfn.XLOOKUP($A9,[11]Sheet1!$B$2:$B$59,[11]Sheet1!M$2:M$59)</f>
        <v>27</v>
      </c>
      <c r="O9" s="116">
        <f>_xlfn.XLOOKUP($A9,[11]Sheet1!$B$2:$B$59,[11]Sheet1!N$2:N$59)</f>
        <v>3</v>
      </c>
      <c r="P9" s="116">
        <f>_xlfn.XLOOKUP($A9,[11]Sheet1!$B$2:$B$59,[11]Sheet1!O$2:O$59)</f>
        <v>3.5</v>
      </c>
      <c r="Q9" s="116">
        <f>_xlfn.XLOOKUP($A9,[11]Sheet1!$B$2:$B$59,[11]Sheet1!P$2:P$59)</f>
        <v>9</v>
      </c>
      <c r="S9" s="116">
        <f>_xlfn.XLOOKUP($A9,[11]Sheet1!$B$2:$B$59,[11]Sheet1!Q$2:Q$59)</f>
        <v>36</v>
      </c>
    </row>
    <row r="10" spans="1:20" ht="20.100000000000001" customHeight="1" x14ac:dyDescent="0.3">
      <c r="A10" s="114" t="s">
        <v>19</v>
      </c>
      <c r="C10" s="116">
        <f>_xlfn.XLOOKUP($A10,[11]Sheet1!$B$2:$B$59,[11]Sheet1!C$2:C$59)</f>
        <v>5.8615221977233887</v>
      </c>
      <c r="D10" s="116">
        <f>_xlfn.XLOOKUP($A10,[11]Sheet1!$B$2:$B$59,[11]Sheet1!D$2:D$59)</f>
        <v>34.794960021972656</v>
      </c>
      <c r="E10" s="116">
        <f>_xlfn.XLOOKUP($A10,[11]Sheet1!$B$2:$B$59,[11]Sheet1!E$2:E$59)</f>
        <v>18.668230056762695</v>
      </c>
      <c r="F10" s="116">
        <f>_xlfn.XLOOKUP($A10,[11]Sheet1!$B$2:$B$59,[11]Sheet1!F$2:F$59)</f>
        <v>19.330097198486328</v>
      </c>
      <c r="G10" s="116">
        <f>_xlfn.XLOOKUP($A10,[11]Sheet1!$B$2:$B$59,[11]Sheet1!G$2:G$59)</f>
        <v>9.3091678619384766</v>
      </c>
      <c r="H10" s="116">
        <f>_xlfn.XLOOKUP($A10,[11]Sheet1!$B$2:$B$59,[11]Sheet1!H$2:H$59)</f>
        <v>4.9670662879943848</v>
      </c>
      <c r="I10" s="116">
        <f>_xlfn.XLOOKUP($A10,[11]Sheet1!$B$2:$B$59,[11]Sheet1!I$2:I$59)</f>
        <v>92.931045532226563</v>
      </c>
      <c r="J10" s="116">
        <f>_xlfn.XLOOKUP($A10,[11]Sheet1!$B$2:$B$59,[11]Sheet1!J$2:J$59)</f>
        <v>1.1000000000000001</v>
      </c>
      <c r="K10" s="116">
        <f>_xlfn.XLOOKUP($A10,[11]Sheet1!$B$2:$B$59,[11]Sheet1!K$2:K$59)</f>
        <v>7.8000000000000007</v>
      </c>
      <c r="L10" s="116">
        <f>_xlfn.XLOOKUP($A10,[11]Sheet1!$B$2:$B$59,[11]Sheet1!L$2:L$59)</f>
        <v>12.055262565612793</v>
      </c>
      <c r="M10" s="116">
        <f>_xlfn.XLOOKUP($A10,[11]Sheet1!$B$2:$B$59,[11]Sheet1!M$2:M$59)</f>
        <v>105</v>
      </c>
      <c r="O10" s="116">
        <f>_xlfn.XLOOKUP($A10,[11]Sheet1!$B$2:$B$59,[11]Sheet1!N$2:N$59)</f>
        <v>12.199999999999998</v>
      </c>
      <c r="P10" s="116">
        <f>_xlfn.XLOOKUP($A10,[11]Sheet1!$B$2:$B$59,[11]Sheet1!O$2:O$59)</f>
        <v>5.1000000000000005</v>
      </c>
      <c r="Q10" s="116">
        <f>_xlfn.XLOOKUP($A10,[11]Sheet1!$B$2:$B$59,[11]Sheet1!P$2:P$59)</f>
        <v>23</v>
      </c>
      <c r="S10" s="116">
        <f>_xlfn.XLOOKUP($A10,[11]Sheet1!$B$2:$B$59,[11]Sheet1!Q$2:Q$59)</f>
        <v>128</v>
      </c>
    </row>
    <row r="11" spans="1:20" ht="20.100000000000001" customHeight="1" x14ac:dyDescent="0.3">
      <c r="A11" s="114" t="s">
        <v>6</v>
      </c>
      <c r="B11" s="83"/>
      <c r="C11" s="116">
        <f>_xlfn.XLOOKUP($A11,[11]Sheet1!$B$2:$B$59,[11]Sheet1!C$2:C$59)</f>
        <v>0.89248204231262207</v>
      </c>
      <c r="D11" s="116">
        <f>_xlfn.XLOOKUP($A11,[11]Sheet1!$B$2:$B$59,[11]Sheet1!D$2:D$59)</f>
        <v>6.5605502128601074</v>
      </c>
      <c r="E11" s="116">
        <f>_xlfn.XLOOKUP($A11,[11]Sheet1!$B$2:$B$59,[11]Sheet1!E$2:E$59)</f>
        <v>3.3939158916473389</v>
      </c>
      <c r="F11" s="116">
        <f>_xlfn.XLOOKUP($A11,[11]Sheet1!$B$2:$B$59,[11]Sheet1!F$2:F$59)</f>
        <v>3.8252551555633545</v>
      </c>
      <c r="G11" s="116">
        <f>_xlfn.XLOOKUP($A11,[11]Sheet1!$B$2:$B$59,[11]Sheet1!G$2:G$59)</f>
        <v>1.7514774799346924</v>
      </c>
      <c r="H11" s="116">
        <f>_xlfn.XLOOKUP($A11,[11]Sheet1!$B$2:$B$59,[11]Sheet1!H$2:H$59)</f>
        <v>1.6612995862960815</v>
      </c>
      <c r="I11" s="116">
        <f>_xlfn.XLOOKUP($A11,[11]Sheet1!$B$2:$B$59,[11]Sheet1!I$2:I$59)</f>
        <v>18.084980010986328</v>
      </c>
      <c r="J11" s="116">
        <f>_xlfn.XLOOKUP($A11,[11]Sheet1!$B$2:$B$59,[11]Sheet1!J$2:J$59)</f>
        <v>0</v>
      </c>
      <c r="K11" s="116">
        <f>_xlfn.XLOOKUP($A11,[11]Sheet1!$B$2:$B$59,[11]Sheet1!K$2:K$59)</f>
        <v>6.6000000000000005</v>
      </c>
      <c r="L11" s="116">
        <f>_xlfn.XLOOKUP($A11,[11]Sheet1!$B$2:$B$59,[11]Sheet1!L$2:L$59)</f>
        <v>2.7401485443115234</v>
      </c>
      <c r="M11" s="116">
        <f>_xlfn.XLOOKUP($A11,[11]Sheet1!$B$2:$B$59,[11]Sheet1!M$2:M$59)</f>
        <v>21</v>
      </c>
      <c r="N11" s="83"/>
      <c r="O11" s="116">
        <f>_xlfn.XLOOKUP($A11,[11]Sheet1!$B$2:$B$59,[11]Sheet1!N$2:N$59)</f>
        <v>3.25</v>
      </c>
      <c r="P11" s="116">
        <f>_xlfn.XLOOKUP($A11,[11]Sheet1!$B$2:$B$59,[11]Sheet1!O$2:O$59)</f>
        <v>3.5</v>
      </c>
      <c r="Q11" s="116">
        <f>_xlfn.XLOOKUP($A11,[11]Sheet1!$B$2:$B$59,[11]Sheet1!P$2:P$59)</f>
        <v>7</v>
      </c>
      <c r="R11" s="83"/>
      <c r="S11" s="116">
        <f>_xlfn.XLOOKUP($A11,[11]Sheet1!$B$2:$B$59,[11]Sheet1!Q$2:Q$59)</f>
        <v>28</v>
      </c>
    </row>
    <row r="12" spans="1:20" ht="20.100000000000001" customHeight="1" x14ac:dyDescent="0.3">
      <c r="A12" s="114" t="s">
        <v>7</v>
      </c>
      <c r="C12" s="116">
        <f>_xlfn.XLOOKUP($A12,[11]Sheet1!$B$2:$B$59,[11]Sheet1!C$2:C$59)</f>
        <v>1.9903843402862549</v>
      </c>
      <c r="D12" s="116">
        <f>_xlfn.XLOOKUP($A12,[11]Sheet1!$B$2:$B$59,[11]Sheet1!D$2:D$59)</f>
        <v>6.2600288391113281</v>
      </c>
      <c r="E12" s="116">
        <f>_xlfn.XLOOKUP($A12,[11]Sheet1!$B$2:$B$59,[11]Sheet1!E$2:E$59)</f>
        <v>1.1018640995025635</v>
      </c>
      <c r="F12" s="116">
        <f>_xlfn.XLOOKUP($A12,[11]Sheet1!$B$2:$B$59,[11]Sheet1!F$2:F$59)</f>
        <v>1.4687454700469971</v>
      </c>
      <c r="G12" s="116">
        <f>_xlfn.XLOOKUP($A12,[11]Sheet1!$B$2:$B$59,[11]Sheet1!G$2:G$59)</f>
        <v>0.51774871349334717</v>
      </c>
      <c r="H12" s="116">
        <f>_xlfn.XLOOKUP($A12,[11]Sheet1!$B$2:$B$59,[11]Sheet1!H$2:H$59)</f>
        <v>0.59314775466918945</v>
      </c>
      <c r="I12" s="116">
        <f>_xlfn.XLOOKUP($A12,[11]Sheet1!$B$2:$B$59,[11]Sheet1!I$2:I$59)</f>
        <v>11.931919097900391</v>
      </c>
      <c r="J12" s="116">
        <f>_xlfn.XLOOKUP($A12,[11]Sheet1!$B$2:$B$59,[11]Sheet1!J$2:J$59)</f>
        <v>0</v>
      </c>
      <c r="K12" s="116">
        <f>_xlfn.XLOOKUP($A12,[11]Sheet1!$B$2:$B$59,[11]Sheet1!K$2:K$59)</f>
        <v>6.6000000000000005</v>
      </c>
      <c r="L12" s="116">
        <f>_xlfn.XLOOKUP($A12,[11]Sheet1!$B$2:$B$59,[11]Sheet1!L$2:L$59)</f>
        <v>1.8078665733337402</v>
      </c>
      <c r="M12" s="116">
        <f>_xlfn.XLOOKUP($A12,[11]Sheet1!$B$2:$B$59,[11]Sheet1!M$2:M$59)</f>
        <v>14</v>
      </c>
      <c r="O12" s="116">
        <f>_xlfn.XLOOKUP($A12,[11]Sheet1!$B$2:$B$59,[11]Sheet1!N$2:N$59)</f>
        <v>2.1</v>
      </c>
      <c r="P12" s="116">
        <f>_xlfn.XLOOKUP($A12,[11]Sheet1!$B$2:$B$59,[11]Sheet1!O$2:O$59)</f>
        <v>3.5</v>
      </c>
      <c r="Q12" s="116">
        <f>_xlfn.XLOOKUP($A12,[11]Sheet1!$B$2:$B$59,[11]Sheet1!P$2:P$59)</f>
        <v>5</v>
      </c>
      <c r="S12" s="116">
        <f>_xlfn.XLOOKUP($A12,[11]Sheet1!$B$2:$B$59,[11]Sheet1!Q$2:Q$59)</f>
        <v>19</v>
      </c>
    </row>
    <row r="13" spans="1:20" ht="20.100000000000001" customHeight="1" x14ac:dyDescent="0.3">
      <c r="A13" s="114" t="s">
        <v>41</v>
      </c>
      <c r="C13" s="116">
        <f>_xlfn.XLOOKUP($A13,[11]Sheet1!$B$2:$B$59,[11]Sheet1!C$2:C$59)</f>
        <v>20.571428298950195</v>
      </c>
      <c r="D13" s="116">
        <f>_xlfn.XLOOKUP($A13,[11]Sheet1!$B$2:$B$59,[11]Sheet1!D$2:D$59)</f>
        <v>76.758872985839844</v>
      </c>
      <c r="E13" s="116">
        <f>_xlfn.XLOOKUP($A13,[11]Sheet1!$B$2:$B$59,[11]Sheet1!E$2:E$59)</f>
        <v>90.622627258300781</v>
      </c>
      <c r="F13" s="116">
        <f>_xlfn.XLOOKUP($A13,[11]Sheet1!$B$2:$B$59,[11]Sheet1!F$2:F$59)</f>
        <v>66.480735778808594</v>
      </c>
      <c r="G13" s="116">
        <f>_xlfn.XLOOKUP($A13,[11]Sheet1!$B$2:$B$59,[11]Sheet1!G$2:G$59)</f>
        <v>32.69970703125</v>
      </c>
      <c r="H13" s="116">
        <f>_xlfn.XLOOKUP($A13,[11]Sheet1!$B$2:$B$59,[11]Sheet1!H$2:H$59)</f>
        <v>15.123891830444336</v>
      </c>
      <c r="I13" s="116">
        <f>_xlfn.XLOOKUP($A13,[11]Sheet1!$B$2:$B$59,[11]Sheet1!I$2:I$59)</f>
        <v>302.25726318359375</v>
      </c>
      <c r="J13" s="116">
        <f>_xlfn.XLOOKUP($A13,[11]Sheet1!$B$2:$B$59,[11]Sheet1!J$2:J$59)</f>
        <v>5.7</v>
      </c>
      <c r="K13" s="116">
        <f>_xlfn.XLOOKUP($A13,[11]Sheet1!$B$2:$B$59,[11]Sheet1!K$2:K$59)</f>
        <v>8.4</v>
      </c>
      <c r="L13" s="116">
        <f>_xlfn.XLOOKUP($A13,[11]Sheet1!$B$2:$B$59,[11]Sheet1!L$2:L$59)</f>
        <v>36.661579132080078</v>
      </c>
      <c r="M13" s="116">
        <f>_xlfn.XLOOKUP($A13,[11]Sheet1!$B$2:$B$59,[11]Sheet1!M$2:M$59)</f>
        <v>339</v>
      </c>
      <c r="O13" s="116">
        <f>_xlfn.XLOOKUP($A13,[11]Sheet1!$B$2:$B$59,[11]Sheet1!N$2:N$59)</f>
        <v>11.530000000000001</v>
      </c>
      <c r="P13" s="116">
        <f>_xlfn.XLOOKUP($A13,[11]Sheet1!$B$2:$B$59,[11]Sheet1!O$2:O$59)</f>
        <v>6.3000000000000007</v>
      </c>
      <c r="Q13" s="116">
        <f>_xlfn.XLOOKUP($A13,[11]Sheet1!$B$2:$B$59,[11]Sheet1!P$2:P$59)</f>
        <v>56</v>
      </c>
      <c r="S13" s="116">
        <f>_xlfn.XLOOKUP($A13,[11]Sheet1!$B$2:$B$59,[11]Sheet1!Q$2:Q$59)</f>
        <v>395</v>
      </c>
    </row>
    <row r="14" spans="1:20" ht="20.100000000000001" customHeight="1" x14ac:dyDescent="0.3">
      <c r="A14" s="114" t="s">
        <v>8</v>
      </c>
      <c r="C14" s="116">
        <f>_xlfn.XLOOKUP($A14,[11]Sheet1!$B$2:$B$59,[11]Sheet1!C$2:C$59)</f>
        <v>1.2077783346176147</v>
      </c>
      <c r="D14" s="116">
        <f>_xlfn.XLOOKUP($A14,[11]Sheet1!$B$2:$B$59,[11]Sheet1!D$2:D$59)</f>
        <v>8.4682292938232422</v>
      </c>
      <c r="E14" s="116">
        <f>_xlfn.XLOOKUP($A14,[11]Sheet1!$B$2:$B$59,[11]Sheet1!E$2:E$59)</f>
        <v>1.9629535675048828</v>
      </c>
      <c r="F14" s="116">
        <f>_xlfn.XLOOKUP($A14,[11]Sheet1!$B$2:$B$59,[11]Sheet1!F$2:F$59)</f>
        <v>3.9894864559173584</v>
      </c>
      <c r="G14" s="116">
        <f>_xlfn.XLOOKUP($A14,[11]Sheet1!$B$2:$B$59,[11]Sheet1!G$2:G$59)</f>
        <v>1.1742557287216187</v>
      </c>
      <c r="H14" s="116">
        <f>_xlfn.XLOOKUP($A14,[11]Sheet1!$B$2:$B$59,[11]Sheet1!H$2:H$59)</f>
        <v>1.4894884824752808</v>
      </c>
      <c r="I14" s="116">
        <f>_xlfn.XLOOKUP($A14,[11]Sheet1!$B$2:$B$59,[11]Sheet1!I$2:I$59)</f>
        <v>18.292192459106445</v>
      </c>
      <c r="J14" s="116">
        <f>_xlfn.XLOOKUP($A14,[11]Sheet1!$B$2:$B$59,[11]Sheet1!J$2:J$59)</f>
        <v>0</v>
      </c>
      <c r="K14" s="116">
        <f>_xlfn.XLOOKUP($A14,[11]Sheet1!$B$2:$B$59,[11]Sheet1!K$2:K$59)</f>
        <v>6.6000000000000005</v>
      </c>
      <c r="L14" s="116">
        <f>_xlfn.XLOOKUP($A14,[11]Sheet1!$B$2:$B$59,[11]Sheet1!L$2:L$59)</f>
        <v>2.7715442180633545</v>
      </c>
      <c r="M14" s="116">
        <f>_xlfn.XLOOKUP($A14,[11]Sheet1!$B$2:$B$59,[11]Sheet1!M$2:M$59)</f>
        <v>22</v>
      </c>
      <c r="O14" s="116">
        <f>_xlfn.XLOOKUP($A14,[11]Sheet1!$B$2:$B$59,[11]Sheet1!N$2:N$59)</f>
        <v>3</v>
      </c>
      <c r="P14" s="116">
        <f>_xlfn.XLOOKUP($A14,[11]Sheet1!$B$2:$B$59,[11]Sheet1!O$2:O$59)</f>
        <v>3.5</v>
      </c>
      <c r="Q14" s="116">
        <f>_xlfn.XLOOKUP($A14,[11]Sheet1!$B$2:$B$59,[11]Sheet1!P$2:P$59)</f>
        <v>8</v>
      </c>
      <c r="S14" s="116">
        <f>_xlfn.XLOOKUP($A14,[11]Sheet1!$B$2:$B$59,[11]Sheet1!Q$2:Q$59)</f>
        <v>30</v>
      </c>
    </row>
    <row r="15" spans="1:20" ht="20.100000000000001" customHeight="1" x14ac:dyDescent="0.3">
      <c r="A15" s="114" t="s">
        <v>20</v>
      </c>
      <c r="C15" s="116">
        <f>_xlfn.XLOOKUP($A15,[11]Sheet1!$B$2:$B$59,[11]Sheet1!C$2:C$59)</f>
        <v>5.5033531188964844</v>
      </c>
      <c r="D15" s="116">
        <f>_xlfn.XLOOKUP($A15,[11]Sheet1!$B$2:$B$59,[11]Sheet1!D$2:D$59)</f>
        <v>21.824640274047852</v>
      </c>
      <c r="E15" s="116">
        <f>_xlfn.XLOOKUP($A15,[11]Sheet1!$B$2:$B$59,[11]Sheet1!E$2:E$59)</f>
        <v>14.190164566040039</v>
      </c>
      <c r="F15" s="116">
        <f>_xlfn.XLOOKUP($A15,[11]Sheet1!$B$2:$B$59,[11]Sheet1!F$2:F$59)</f>
        <v>13.163937568664551</v>
      </c>
      <c r="G15" s="116">
        <f>_xlfn.XLOOKUP($A15,[11]Sheet1!$B$2:$B$59,[11]Sheet1!G$2:G$59)</f>
        <v>4.6252508163452148</v>
      </c>
      <c r="H15" s="116">
        <f>_xlfn.XLOOKUP($A15,[11]Sheet1!$B$2:$B$59,[11]Sheet1!H$2:H$59)</f>
        <v>3.7296099662780762</v>
      </c>
      <c r="I15" s="116">
        <f>_xlfn.XLOOKUP($A15,[11]Sheet1!$B$2:$B$59,[11]Sheet1!I$2:I$59)</f>
        <v>63.036956787109375</v>
      </c>
      <c r="J15" s="116">
        <f>_xlfn.XLOOKUP($A15,[11]Sheet1!$B$2:$B$59,[11]Sheet1!J$2:J$59)</f>
        <v>0</v>
      </c>
      <c r="K15" s="116">
        <f>_xlfn.XLOOKUP($A15,[11]Sheet1!$B$2:$B$59,[11]Sheet1!K$2:K$59)</f>
        <v>7.8000000000000007</v>
      </c>
      <c r="L15" s="116">
        <f>_xlfn.XLOOKUP($A15,[11]Sheet1!$B$2:$B$59,[11]Sheet1!L$2:L$59)</f>
        <v>8.0816612243652344</v>
      </c>
      <c r="M15" s="116">
        <f>_xlfn.XLOOKUP($A15,[11]Sheet1!$B$2:$B$59,[11]Sheet1!M$2:M$59)</f>
        <v>72</v>
      </c>
      <c r="O15" s="116">
        <f>_xlfn.XLOOKUP($A15,[11]Sheet1!$B$2:$B$59,[11]Sheet1!N$2:N$59)</f>
        <v>2.2999999999999998</v>
      </c>
      <c r="P15" s="116">
        <f>_xlfn.XLOOKUP($A15,[11]Sheet1!$B$2:$B$59,[11]Sheet1!O$2:O$59)</f>
        <v>5.1000000000000005</v>
      </c>
      <c r="Q15" s="116">
        <f>_xlfn.XLOOKUP($A15,[11]Sheet1!$B$2:$B$59,[11]Sheet1!P$2:P$59)</f>
        <v>15</v>
      </c>
      <c r="S15" s="116">
        <f>_xlfn.XLOOKUP($A15,[11]Sheet1!$B$2:$B$59,[11]Sheet1!Q$2:Q$59)</f>
        <v>87</v>
      </c>
    </row>
    <row r="16" spans="1:20" ht="20.100000000000001" customHeight="1" x14ac:dyDescent="0.3">
      <c r="A16" s="114" t="s">
        <v>42</v>
      </c>
      <c r="C16" s="116">
        <f>_xlfn.XLOOKUP($A16,[11]Sheet1!$B$2:$B$59,[11]Sheet1!C$2:C$59)</f>
        <v>28.803918838500977</v>
      </c>
      <c r="D16" s="116">
        <f>_xlfn.XLOOKUP($A16,[11]Sheet1!$B$2:$B$59,[11]Sheet1!D$2:D$59)</f>
        <v>202.18075561523438</v>
      </c>
      <c r="E16" s="116">
        <f>_xlfn.XLOOKUP($A16,[11]Sheet1!$B$2:$B$59,[11]Sheet1!E$2:E$59)</f>
        <v>80.564765930175781</v>
      </c>
      <c r="F16" s="116">
        <f>_xlfn.XLOOKUP($A16,[11]Sheet1!$B$2:$B$59,[11]Sheet1!F$2:F$59)</f>
        <v>88.465057373046875</v>
      </c>
      <c r="G16" s="116">
        <f>_xlfn.XLOOKUP($A16,[11]Sheet1!$B$2:$B$59,[11]Sheet1!G$2:G$59)</f>
        <v>35.377296447753906</v>
      </c>
      <c r="H16" s="116">
        <f>_xlfn.XLOOKUP($A16,[11]Sheet1!$B$2:$B$59,[11]Sheet1!H$2:H$59)</f>
        <v>29.304069519042969</v>
      </c>
      <c r="I16" s="116">
        <f>_xlfn.XLOOKUP($A16,[11]Sheet1!$B$2:$B$59,[11]Sheet1!I$2:I$59)</f>
        <v>464.69586181640625</v>
      </c>
      <c r="J16" s="116">
        <f>_xlfn.XLOOKUP($A16,[11]Sheet1!$B$2:$B$59,[11]Sheet1!J$2:J$59)</f>
        <v>5.1000000000000005</v>
      </c>
      <c r="K16" s="116">
        <f>_xlfn.XLOOKUP($A16,[11]Sheet1!$B$2:$B$59,[11]Sheet1!K$2:K$59)</f>
        <v>8.4</v>
      </c>
      <c r="L16" s="116">
        <f>_xlfn.XLOOKUP($A16,[11]Sheet1!$B$2:$B$59,[11]Sheet1!L$2:L$59)</f>
        <v>55.928077697753906</v>
      </c>
      <c r="M16" s="116">
        <f>_xlfn.XLOOKUP($A16,[11]Sheet1!$B$2:$B$59,[11]Sheet1!M$2:M$59)</f>
        <v>521</v>
      </c>
      <c r="O16" s="116">
        <f>_xlfn.XLOOKUP($A16,[11]Sheet1!$B$2:$B$59,[11]Sheet1!N$2:N$59)</f>
        <v>16.100000000000001</v>
      </c>
      <c r="P16" s="116">
        <f>_xlfn.XLOOKUP($A16,[11]Sheet1!$B$2:$B$59,[11]Sheet1!O$2:O$59)</f>
        <v>6.3000000000000007</v>
      </c>
      <c r="Q16" s="116">
        <f>_xlfn.XLOOKUP($A16,[11]Sheet1!$B$2:$B$59,[11]Sheet1!P$2:P$59)</f>
        <v>86</v>
      </c>
      <c r="S16" s="116">
        <f>_xlfn.XLOOKUP($A16,[11]Sheet1!$B$2:$B$59,[11]Sheet1!Q$2:Q$59)</f>
        <v>607</v>
      </c>
    </row>
    <row r="17" spans="1:19" ht="20.100000000000001" customHeight="1" x14ac:dyDescent="0.3">
      <c r="A17" s="114" t="s">
        <v>9</v>
      </c>
      <c r="B17" s="83"/>
      <c r="C17" s="116">
        <f>_xlfn.XLOOKUP($A17,[11]Sheet1!$B$2:$B$59,[11]Sheet1!C$2:C$59)</f>
        <v>2.0260298252105713</v>
      </c>
      <c r="D17" s="116">
        <f>_xlfn.XLOOKUP($A17,[11]Sheet1!$B$2:$B$59,[11]Sheet1!D$2:D$59)</f>
        <v>5.8879189491271973</v>
      </c>
      <c r="E17" s="116">
        <f>_xlfn.XLOOKUP($A17,[11]Sheet1!$B$2:$B$59,[11]Sheet1!E$2:E$59)</f>
        <v>1.8745138645172119</v>
      </c>
      <c r="F17" s="116">
        <f>_xlfn.XLOOKUP($A17,[11]Sheet1!$B$2:$B$59,[11]Sheet1!F$2:F$59)</f>
        <v>2.8903374671936035</v>
      </c>
      <c r="G17" s="116">
        <f>_xlfn.XLOOKUP($A17,[11]Sheet1!$B$2:$B$59,[11]Sheet1!G$2:G$59)</f>
        <v>1.1737734079360962</v>
      </c>
      <c r="H17" s="116">
        <f>_xlfn.XLOOKUP($A17,[11]Sheet1!$B$2:$B$59,[11]Sheet1!H$2:H$59)</f>
        <v>1.0227274894714355</v>
      </c>
      <c r="I17" s="116">
        <f>_xlfn.XLOOKUP($A17,[11]Sheet1!$B$2:$B$59,[11]Sheet1!I$2:I$59)</f>
        <v>14.875301361083984</v>
      </c>
      <c r="J17" s="116">
        <f>_xlfn.XLOOKUP($A17,[11]Sheet1!$B$2:$B$59,[11]Sheet1!J$2:J$59)</f>
        <v>0</v>
      </c>
      <c r="K17" s="116">
        <f>_xlfn.XLOOKUP($A17,[11]Sheet1!$B$2:$B$59,[11]Sheet1!K$2:K$59)</f>
        <v>6.6000000000000005</v>
      </c>
      <c r="L17" s="116">
        <f>_xlfn.XLOOKUP($A17,[11]Sheet1!$B$2:$B$59,[11]Sheet1!L$2:L$59)</f>
        <v>2.253833532333374</v>
      </c>
      <c r="M17" s="116">
        <f>_xlfn.XLOOKUP($A17,[11]Sheet1!$B$2:$B$59,[11]Sheet1!M$2:M$59)</f>
        <v>18</v>
      </c>
      <c r="N17" s="83"/>
      <c r="O17" s="116">
        <f>_xlfn.XLOOKUP($A17,[11]Sheet1!$B$2:$B$59,[11]Sheet1!N$2:N$59)</f>
        <v>6.9</v>
      </c>
      <c r="P17" s="116">
        <f>_xlfn.XLOOKUP($A17,[11]Sheet1!$B$2:$B$59,[11]Sheet1!O$2:O$59)</f>
        <v>3.5</v>
      </c>
      <c r="Q17" s="116">
        <f>_xlfn.XLOOKUP($A17,[11]Sheet1!$B$2:$B$59,[11]Sheet1!P$2:P$59)</f>
        <v>8</v>
      </c>
      <c r="R17" s="83"/>
      <c r="S17" s="116">
        <f>_xlfn.XLOOKUP($A17,[11]Sheet1!$B$2:$B$59,[11]Sheet1!Q$2:Q$59)</f>
        <v>26</v>
      </c>
    </row>
    <row r="18" spans="1:19" ht="20.100000000000001" customHeight="1" x14ac:dyDescent="0.3">
      <c r="A18" s="114" t="s">
        <v>21</v>
      </c>
      <c r="C18" s="116">
        <f>_xlfn.XLOOKUP($A18,[11]Sheet1!$B$2:$B$59,[11]Sheet1!C$2:C$59)</f>
        <v>3.4972898960113525</v>
      </c>
      <c r="D18" s="116">
        <f>_xlfn.XLOOKUP($A18,[11]Sheet1!$B$2:$B$59,[11]Sheet1!D$2:D$59)</f>
        <v>29.666179656982422</v>
      </c>
      <c r="E18" s="116">
        <f>_xlfn.XLOOKUP($A18,[11]Sheet1!$B$2:$B$59,[11]Sheet1!E$2:E$59)</f>
        <v>10.968196868896484</v>
      </c>
      <c r="F18" s="116">
        <f>_xlfn.XLOOKUP($A18,[11]Sheet1!$B$2:$B$59,[11]Sheet1!F$2:F$59)</f>
        <v>12.793526649475098</v>
      </c>
      <c r="G18" s="116">
        <f>_xlfn.XLOOKUP($A18,[11]Sheet1!$B$2:$B$59,[11]Sheet1!G$2:G$59)</f>
        <v>6.2480740547180176</v>
      </c>
      <c r="H18" s="116">
        <f>_xlfn.XLOOKUP($A18,[11]Sheet1!$B$2:$B$59,[11]Sheet1!H$2:H$59)</f>
        <v>5.309605598449707</v>
      </c>
      <c r="I18" s="116">
        <f>_xlfn.XLOOKUP($A18,[11]Sheet1!$B$2:$B$59,[11]Sheet1!I$2:I$59)</f>
        <v>68.482872009277344</v>
      </c>
      <c r="J18" s="116">
        <f>_xlfn.XLOOKUP($A18,[11]Sheet1!$B$2:$B$59,[11]Sheet1!J$2:J$59)</f>
        <v>0</v>
      </c>
      <c r="K18" s="116">
        <f>_xlfn.XLOOKUP($A18,[11]Sheet1!$B$2:$B$59,[11]Sheet1!K$2:K$59)</f>
        <v>7.8000000000000007</v>
      </c>
      <c r="L18" s="116">
        <f>_xlfn.XLOOKUP($A18,[11]Sheet1!$B$2:$B$59,[11]Sheet1!L$2:L$59)</f>
        <v>8.7798557281494141</v>
      </c>
      <c r="M18" s="116">
        <f>_xlfn.XLOOKUP($A18,[11]Sheet1!$B$2:$B$59,[11]Sheet1!M$2:M$59)</f>
        <v>78</v>
      </c>
      <c r="O18" s="116">
        <f>_xlfn.XLOOKUP($A18,[11]Sheet1!$B$2:$B$59,[11]Sheet1!N$2:N$59)</f>
        <v>2.4</v>
      </c>
      <c r="P18" s="116">
        <f>_xlfn.XLOOKUP($A18,[11]Sheet1!$B$2:$B$59,[11]Sheet1!O$2:O$59)</f>
        <v>5.1000000000000005</v>
      </c>
      <c r="Q18" s="116">
        <f>_xlfn.XLOOKUP($A18,[11]Sheet1!$B$2:$B$59,[11]Sheet1!P$2:P$59)</f>
        <v>16</v>
      </c>
      <c r="S18" s="116">
        <f>_xlfn.XLOOKUP($A18,[11]Sheet1!$B$2:$B$59,[11]Sheet1!Q$2:Q$59)</f>
        <v>94</v>
      </c>
    </row>
    <row r="19" spans="1:19" ht="20.100000000000001" customHeight="1" x14ac:dyDescent="0.3">
      <c r="A19" s="114" t="s">
        <v>22</v>
      </c>
      <c r="C19" s="116">
        <f>_xlfn.XLOOKUP($A19,[11]Sheet1!$B$2:$B$59,[11]Sheet1!C$2:C$59)</f>
        <v>12.66966724395752</v>
      </c>
      <c r="D19" s="116">
        <f>_xlfn.XLOOKUP($A19,[11]Sheet1!$B$2:$B$59,[11]Sheet1!D$2:D$59)</f>
        <v>26.480661392211914</v>
      </c>
      <c r="E19" s="116">
        <f>_xlfn.XLOOKUP($A19,[11]Sheet1!$B$2:$B$59,[11]Sheet1!E$2:E$59)</f>
        <v>10.751665115356445</v>
      </c>
      <c r="F19" s="116">
        <f>_xlfn.XLOOKUP($A19,[11]Sheet1!$B$2:$B$59,[11]Sheet1!F$2:F$59)</f>
        <v>16.044828414916992</v>
      </c>
      <c r="G19" s="116">
        <f>_xlfn.XLOOKUP($A19,[11]Sheet1!$B$2:$B$59,[11]Sheet1!G$2:G$59)</f>
        <v>4.6533288955688477</v>
      </c>
      <c r="H19" s="116">
        <f>_xlfn.XLOOKUP($A19,[11]Sheet1!$B$2:$B$59,[11]Sheet1!H$2:H$59)</f>
        <v>4.7834339141845703</v>
      </c>
      <c r="I19" s="116">
        <f>_xlfn.XLOOKUP($A19,[11]Sheet1!$B$2:$B$59,[11]Sheet1!I$2:I$59)</f>
        <v>75.383583068847656</v>
      </c>
      <c r="J19" s="116">
        <f>_xlfn.XLOOKUP($A19,[11]Sheet1!$B$2:$B$59,[11]Sheet1!J$2:J$59)</f>
        <v>1.7000000000000002</v>
      </c>
      <c r="K19" s="116">
        <f>_xlfn.XLOOKUP($A19,[11]Sheet1!$B$2:$B$59,[11]Sheet1!K$2:K$59)</f>
        <v>7.8000000000000007</v>
      </c>
      <c r="L19" s="116">
        <f>_xlfn.XLOOKUP($A19,[11]Sheet1!$B$2:$B$59,[11]Sheet1!L$2:L$59)</f>
        <v>9.8825101852416992</v>
      </c>
      <c r="M19" s="116">
        <f>_xlfn.XLOOKUP($A19,[11]Sheet1!$B$2:$B$59,[11]Sheet1!M$2:M$59)</f>
        <v>86</v>
      </c>
      <c r="O19" s="116">
        <f>_xlfn.XLOOKUP($A19,[11]Sheet1!$B$2:$B$59,[11]Sheet1!N$2:N$59)</f>
        <v>8.5</v>
      </c>
      <c r="P19" s="116">
        <f>_xlfn.XLOOKUP($A19,[11]Sheet1!$B$2:$B$59,[11]Sheet1!O$2:O$59)</f>
        <v>5.1000000000000005</v>
      </c>
      <c r="Q19" s="116">
        <f>_xlfn.XLOOKUP($A19,[11]Sheet1!$B$2:$B$59,[11]Sheet1!P$2:P$59)</f>
        <v>19</v>
      </c>
      <c r="S19" s="116">
        <f>_xlfn.XLOOKUP($A19,[11]Sheet1!$B$2:$B$59,[11]Sheet1!Q$2:Q$59)</f>
        <v>105</v>
      </c>
    </row>
    <row r="20" spans="1:19" ht="20.100000000000001" customHeight="1" x14ac:dyDescent="0.3">
      <c r="A20" s="114" t="s">
        <v>10</v>
      </c>
      <c r="C20" s="116">
        <f>_xlfn.XLOOKUP($A20,[11]Sheet1!$B$2:$B$59,[11]Sheet1!C$2:C$59)</f>
        <v>3.1838309764862061</v>
      </c>
      <c r="D20" s="116">
        <f>_xlfn.XLOOKUP($A20,[11]Sheet1!$B$2:$B$59,[11]Sheet1!D$2:D$59)</f>
        <v>6.4740023612976074</v>
      </c>
      <c r="E20" s="116">
        <f>_xlfn.XLOOKUP($A20,[11]Sheet1!$B$2:$B$59,[11]Sheet1!E$2:E$59)</f>
        <v>1.1241482496261597</v>
      </c>
      <c r="F20" s="116">
        <f>_xlfn.XLOOKUP($A20,[11]Sheet1!$B$2:$B$59,[11]Sheet1!F$2:F$59)</f>
        <v>1.8676443099975586</v>
      </c>
      <c r="G20" s="116">
        <f>_xlfn.XLOOKUP($A20,[11]Sheet1!$B$2:$B$59,[11]Sheet1!G$2:G$59)</f>
        <v>0.92501819133758545</v>
      </c>
      <c r="H20" s="116">
        <f>_xlfn.XLOOKUP($A20,[11]Sheet1!$B$2:$B$59,[11]Sheet1!H$2:H$59)</f>
        <v>0.5412747859954834</v>
      </c>
      <c r="I20" s="116">
        <f>_xlfn.XLOOKUP($A20,[11]Sheet1!$B$2:$B$59,[11]Sheet1!I$2:I$59)</f>
        <v>14.11591911315918</v>
      </c>
      <c r="J20" s="116">
        <f>_xlfn.XLOOKUP($A20,[11]Sheet1!$B$2:$B$59,[11]Sheet1!J$2:J$59)</f>
        <v>0.25</v>
      </c>
      <c r="K20" s="116">
        <f>_xlfn.XLOOKUP($A20,[11]Sheet1!$B$2:$B$59,[11]Sheet1!K$2:K$59)</f>
        <v>6.6000000000000005</v>
      </c>
      <c r="L20" s="116">
        <f>_xlfn.XLOOKUP($A20,[11]Sheet1!$B$2:$B$59,[11]Sheet1!L$2:L$59)</f>
        <v>2.1766543388366699</v>
      </c>
      <c r="M20" s="116">
        <f>_xlfn.XLOOKUP($A20,[11]Sheet1!$B$2:$B$59,[11]Sheet1!M$2:M$59)</f>
        <v>17</v>
      </c>
      <c r="O20" s="116">
        <f>_xlfn.XLOOKUP($A20,[11]Sheet1!$B$2:$B$59,[11]Sheet1!N$2:N$59)</f>
        <v>3.6600000000000006</v>
      </c>
      <c r="P20" s="116">
        <f>_xlfn.XLOOKUP($A20,[11]Sheet1!$B$2:$B$59,[11]Sheet1!O$2:O$59)</f>
        <v>3.5</v>
      </c>
      <c r="Q20" s="116">
        <f>_xlfn.XLOOKUP($A20,[11]Sheet1!$B$2:$B$59,[11]Sheet1!P$2:P$59)</f>
        <v>6</v>
      </c>
      <c r="S20" s="116">
        <f>_xlfn.XLOOKUP($A20,[11]Sheet1!$B$2:$B$59,[11]Sheet1!Q$2:Q$59)</f>
        <v>23</v>
      </c>
    </row>
    <row r="21" spans="1:19" ht="20.100000000000001" customHeight="1" x14ac:dyDescent="0.3">
      <c r="A21" s="114" t="s">
        <v>43</v>
      </c>
      <c r="C21" s="116">
        <f>_xlfn.XLOOKUP($A21,[11]Sheet1!$B$2:$B$59,[11]Sheet1!C$2:C$59)</f>
        <v>31.230257034301758</v>
      </c>
      <c r="D21" s="116">
        <f>_xlfn.XLOOKUP($A21,[11]Sheet1!$B$2:$B$59,[11]Sheet1!D$2:D$59)</f>
        <v>224.11691284179688</v>
      </c>
      <c r="E21" s="116">
        <f>_xlfn.XLOOKUP($A21,[11]Sheet1!$B$2:$B$59,[11]Sheet1!E$2:E$59)</f>
        <v>71.612464904785156</v>
      </c>
      <c r="F21" s="116">
        <f>_xlfn.XLOOKUP($A21,[11]Sheet1!$B$2:$B$59,[11]Sheet1!F$2:F$59)</f>
        <v>81.451667785644531</v>
      </c>
      <c r="G21" s="116">
        <f>_xlfn.XLOOKUP($A21,[11]Sheet1!$B$2:$B$59,[11]Sheet1!G$2:G$59)</f>
        <v>31.308944702148438</v>
      </c>
      <c r="H21" s="116">
        <f>_xlfn.XLOOKUP($A21,[11]Sheet1!$B$2:$B$59,[11]Sheet1!H$2:H$59)</f>
        <v>26.287284851074219</v>
      </c>
      <c r="I21" s="116">
        <f>_xlfn.XLOOKUP($A21,[11]Sheet1!$B$2:$B$59,[11]Sheet1!I$2:I$59)</f>
        <v>466.00753784179688</v>
      </c>
      <c r="J21" s="116">
        <f>_xlfn.XLOOKUP($A21,[11]Sheet1!$B$2:$B$59,[11]Sheet1!J$2:J$59)</f>
        <v>12</v>
      </c>
      <c r="K21" s="116">
        <f>_xlfn.XLOOKUP($A21,[11]Sheet1!$B$2:$B$59,[11]Sheet1!K$2:K$59)</f>
        <v>8.4</v>
      </c>
      <c r="L21" s="116">
        <f>_xlfn.XLOOKUP($A21,[11]Sheet1!$B$2:$B$59,[11]Sheet1!L$2:L$59)</f>
        <v>56.905658721923828</v>
      </c>
      <c r="M21" s="116">
        <f>_xlfn.XLOOKUP($A21,[11]Sheet1!$B$2:$B$59,[11]Sheet1!M$2:M$59)</f>
        <v>523</v>
      </c>
      <c r="O21" s="116">
        <f>_xlfn.XLOOKUP($A21,[11]Sheet1!$B$2:$B$59,[11]Sheet1!N$2:N$59)</f>
        <v>48</v>
      </c>
      <c r="P21" s="116">
        <f>_xlfn.XLOOKUP($A21,[11]Sheet1!$B$2:$B$59,[11]Sheet1!O$2:O$59)</f>
        <v>6.3000000000000007</v>
      </c>
      <c r="Q21" s="116">
        <f>_xlfn.XLOOKUP($A21,[11]Sheet1!$B$2:$B$59,[11]Sheet1!P$2:P$59)</f>
        <v>91</v>
      </c>
      <c r="S21" s="116">
        <f>_xlfn.XLOOKUP($A21,[11]Sheet1!$B$2:$B$59,[11]Sheet1!Q$2:Q$59)</f>
        <v>614</v>
      </c>
    </row>
    <row r="22" spans="1:19" ht="20.100000000000001" customHeight="1" x14ac:dyDescent="0.3">
      <c r="A22" s="114" t="s">
        <v>23</v>
      </c>
      <c r="C22" s="116">
        <f>_xlfn.XLOOKUP($A22,[11]Sheet1!$B$2:$B$59,[11]Sheet1!C$2:C$59)</f>
        <v>4.7524728775024414</v>
      </c>
      <c r="D22" s="116">
        <f>_xlfn.XLOOKUP($A22,[11]Sheet1!$B$2:$B$59,[11]Sheet1!D$2:D$59)</f>
        <v>41.471832275390625</v>
      </c>
      <c r="E22" s="116">
        <f>_xlfn.XLOOKUP($A22,[11]Sheet1!$B$2:$B$59,[11]Sheet1!E$2:E$59)</f>
        <v>9.99444580078125</v>
      </c>
      <c r="F22" s="116">
        <f>_xlfn.XLOOKUP($A22,[11]Sheet1!$B$2:$B$59,[11]Sheet1!F$2:F$59)</f>
        <v>18.834140777587891</v>
      </c>
      <c r="G22" s="116">
        <f>_xlfn.XLOOKUP($A22,[11]Sheet1!$B$2:$B$59,[11]Sheet1!G$2:G$59)</f>
        <v>4.0425896644592285</v>
      </c>
      <c r="H22" s="116">
        <f>_xlfn.XLOOKUP($A22,[11]Sheet1!$B$2:$B$59,[11]Sheet1!H$2:H$59)</f>
        <v>6.3267993927001953</v>
      </c>
      <c r="I22" s="116">
        <f>_xlfn.XLOOKUP($A22,[11]Sheet1!$B$2:$B$59,[11]Sheet1!I$2:I$59)</f>
        <v>85.422279357910156</v>
      </c>
      <c r="J22" s="116">
        <f>_xlfn.XLOOKUP($A22,[11]Sheet1!$B$2:$B$59,[11]Sheet1!J$2:J$59)</f>
        <v>2.6</v>
      </c>
      <c r="K22" s="116">
        <f>_xlfn.XLOOKUP($A22,[11]Sheet1!$B$2:$B$59,[11]Sheet1!K$2:K$59)</f>
        <v>7.8000000000000007</v>
      </c>
      <c r="L22" s="116">
        <f>_xlfn.XLOOKUP($A22,[11]Sheet1!$B$2:$B$59,[11]Sheet1!L$2:L$59)</f>
        <v>11.284907341003418</v>
      </c>
      <c r="M22" s="116">
        <f>_xlfn.XLOOKUP($A22,[11]Sheet1!$B$2:$B$59,[11]Sheet1!M$2:M$59)</f>
        <v>97</v>
      </c>
      <c r="O22" s="116">
        <f>_xlfn.XLOOKUP($A22,[11]Sheet1!$B$2:$B$59,[11]Sheet1!N$2:N$59)</f>
        <v>5.6</v>
      </c>
      <c r="P22" s="116">
        <f>_xlfn.XLOOKUP($A22,[11]Sheet1!$B$2:$B$59,[11]Sheet1!O$2:O$59)</f>
        <v>5.1000000000000005</v>
      </c>
      <c r="Q22" s="116">
        <f>_xlfn.XLOOKUP($A22,[11]Sheet1!$B$2:$B$59,[11]Sheet1!P$2:P$59)</f>
        <v>21</v>
      </c>
      <c r="S22" s="116">
        <f>_xlfn.XLOOKUP($A22,[11]Sheet1!$B$2:$B$59,[11]Sheet1!Q$2:Q$59)</f>
        <v>118</v>
      </c>
    </row>
    <row r="23" spans="1:19" ht="20.100000000000001" customHeight="1" x14ac:dyDescent="0.3">
      <c r="A23" s="114" t="s">
        <v>24</v>
      </c>
      <c r="C23" s="116">
        <f>_xlfn.XLOOKUP($A23,[11]Sheet1!$B$2:$B$59,[11]Sheet1!C$2:C$59)</f>
        <v>1.5939978361129761</v>
      </c>
      <c r="D23" s="116">
        <f>_xlfn.XLOOKUP($A23,[11]Sheet1!$B$2:$B$59,[11]Sheet1!D$2:D$59)</f>
        <v>25.82154655456543</v>
      </c>
      <c r="E23" s="116">
        <f>_xlfn.XLOOKUP($A23,[11]Sheet1!$B$2:$B$59,[11]Sheet1!E$2:E$59)</f>
        <v>7.5456247329711914</v>
      </c>
      <c r="F23" s="116">
        <f>_xlfn.XLOOKUP($A23,[11]Sheet1!$B$2:$B$59,[11]Sheet1!F$2:F$59)</f>
        <v>8.0673961639404297</v>
      </c>
      <c r="G23" s="116">
        <f>_xlfn.XLOOKUP($A23,[11]Sheet1!$B$2:$B$59,[11]Sheet1!G$2:G$59)</f>
        <v>3.7157468795776367</v>
      </c>
      <c r="H23" s="116">
        <f>_xlfn.XLOOKUP($A23,[11]Sheet1!$B$2:$B$59,[11]Sheet1!H$2:H$59)</f>
        <v>1.6694755554199219</v>
      </c>
      <c r="I23" s="116">
        <f>_xlfn.XLOOKUP($A23,[11]Sheet1!$B$2:$B$59,[11]Sheet1!I$2:I$59)</f>
        <v>48.413787841796875</v>
      </c>
      <c r="J23" s="116">
        <f>_xlfn.XLOOKUP($A23,[11]Sheet1!$B$2:$B$59,[11]Sheet1!J$2:J$59)</f>
        <v>0.25</v>
      </c>
      <c r="K23" s="116">
        <f>_xlfn.XLOOKUP($A23,[11]Sheet1!$B$2:$B$59,[11]Sheet1!K$2:K$59)</f>
        <v>7.8000000000000007</v>
      </c>
      <c r="L23" s="116">
        <f>_xlfn.XLOOKUP($A23,[11]Sheet1!$B$2:$B$59,[11]Sheet1!L$2:L$59)</f>
        <v>6.2389473915100098</v>
      </c>
      <c r="M23" s="116">
        <f>_xlfn.XLOOKUP($A23,[11]Sheet1!$B$2:$B$59,[11]Sheet1!M$2:M$59)</f>
        <v>55</v>
      </c>
      <c r="O23" s="116">
        <f>_xlfn.XLOOKUP($A23,[11]Sheet1!$B$2:$B$59,[11]Sheet1!N$2:N$59)</f>
        <v>1.95</v>
      </c>
      <c r="P23" s="116">
        <f>_xlfn.XLOOKUP($A23,[11]Sheet1!$B$2:$B$59,[11]Sheet1!O$2:O$59)</f>
        <v>5.1000000000000005</v>
      </c>
      <c r="Q23" s="116">
        <f>_xlfn.XLOOKUP($A23,[11]Sheet1!$B$2:$B$59,[11]Sheet1!P$2:P$59)</f>
        <v>12</v>
      </c>
      <c r="S23" s="116">
        <f>_xlfn.XLOOKUP($A23,[11]Sheet1!$B$2:$B$59,[11]Sheet1!Q$2:Q$59)</f>
        <v>67</v>
      </c>
    </row>
    <row r="24" spans="1:19" ht="20.100000000000001" customHeight="1" x14ac:dyDescent="0.3">
      <c r="A24" s="114" t="s">
        <v>11</v>
      </c>
      <c r="C24" s="116">
        <f>_xlfn.XLOOKUP($A24,[11]Sheet1!$B$2:$B$59,[11]Sheet1!C$2:C$59)</f>
        <v>1.5816260576248169</v>
      </c>
      <c r="D24" s="116">
        <f>_xlfn.XLOOKUP($A24,[11]Sheet1!$B$2:$B$59,[11]Sheet1!D$2:D$59)</f>
        <v>8.872166633605957</v>
      </c>
      <c r="E24" s="116">
        <f>_xlfn.XLOOKUP($A24,[11]Sheet1!$B$2:$B$59,[11]Sheet1!E$2:E$59)</f>
        <v>1.6725516319274902</v>
      </c>
      <c r="F24" s="116">
        <f>_xlfn.XLOOKUP($A24,[11]Sheet1!$B$2:$B$59,[11]Sheet1!F$2:F$59)</f>
        <v>3.2541639804840088</v>
      </c>
      <c r="G24" s="116">
        <f>_xlfn.XLOOKUP($A24,[11]Sheet1!$B$2:$B$59,[11]Sheet1!G$2:G$59)</f>
        <v>0.90563464164733887</v>
      </c>
      <c r="H24" s="116">
        <f>_xlfn.XLOOKUP($A24,[11]Sheet1!$B$2:$B$59,[11]Sheet1!H$2:H$59)</f>
        <v>0.82096242904663086</v>
      </c>
      <c r="I24" s="116">
        <f>_xlfn.XLOOKUP($A24,[11]Sheet1!$B$2:$B$59,[11]Sheet1!I$2:I$59)</f>
        <v>17.107105255126953</v>
      </c>
      <c r="J24" s="116">
        <f>_xlfn.XLOOKUP($A24,[11]Sheet1!$B$2:$B$59,[11]Sheet1!J$2:J$59)</f>
        <v>0</v>
      </c>
      <c r="K24" s="116">
        <f>_xlfn.XLOOKUP($A24,[11]Sheet1!$B$2:$B$59,[11]Sheet1!K$2:K$59)</f>
        <v>6.6000000000000005</v>
      </c>
      <c r="L24" s="116">
        <f>_xlfn.XLOOKUP($A24,[11]Sheet1!$B$2:$B$59,[11]Sheet1!L$2:L$59)</f>
        <v>2.5919857025146484</v>
      </c>
      <c r="M24" s="116">
        <f>_xlfn.XLOOKUP($A24,[11]Sheet1!$B$2:$B$59,[11]Sheet1!M$2:M$59)</f>
        <v>20</v>
      </c>
      <c r="O24" s="116">
        <f>_xlfn.XLOOKUP($A24,[11]Sheet1!$B$2:$B$59,[11]Sheet1!N$2:N$59)</f>
        <v>1.25</v>
      </c>
      <c r="P24" s="116">
        <f>_xlfn.XLOOKUP($A24,[11]Sheet1!$B$2:$B$59,[11]Sheet1!O$2:O$59)</f>
        <v>3.5</v>
      </c>
      <c r="Q24" s="116">
        <f>_xlfn.XLOOKUP($A24,[11]Sheet1!$B$2:$B$59,[11]Sheet1!P$2:P$59)</f>
        <v>7</v>
      </c>
      <c r="S24" s="116">
        <f>_xlfn.XLOOKUP($A24,[11]Sheet1!$B$2:$B$59,[11]Sheet1!Q$2:Q$59)</f>
        <v>27</v>
      </c>
    </row>
    <row r="25" spans="1:19" ht="20.100000000000001" customHeight="1" x14ac:dyDescent="0.3">
      <c r="A25" s="114" t="s">
        <v>54</v>
      </c>
      <c r="C25" s="116">
        <f>_xlfn.XLOOKUP($A25,[11]Sheet1!$B$2:$B$59,[11]Sheet1!C$2:C$59)</f>
        <v>252.29533386230469</v>
      </c>
      <c r="D25" s="116">
        <f>_xlfn.XLOOKUP($A25,[11]Sheet1!$B$2:$B$59,[11]Sheet1!D$2:D$59)</f>
        <v>930.92864990234375</v>
      </c>
      <c r="E25" s="116">
        <f>_xlfn.XLOOKUP($A25,[11]Sheet1!$B$2:$B$59,[11]Sheet1!E$2:E$59)</f>
        <v>1265.080322265625</v>
      </c>
      <c r="F25" s="116">
        <f>_xlfn.XLOOKUP($A25,[11]Sheet1!$B$2:$B$59,[11]Sheet1!F$2:F$59)</f>
        <v>767.181396484375</v>
      </c>
      <c r="G25" s="116">
        <f>_xlfn.XLOOKUP($A25,[11]Sheet1!$B$2:$B$59,[11]Sheet1!G$2:G$59)</f>
        <v>316.49749755859375</v>
      </c>
      <c r="H25" s="116">
        <f>_xlfn.XLOOKUP($A25,[11]Sheet1!$B$2:$B$59,[11]Sheet1!H$2:H$59)</f>
        <v>269.72467041015625</v>
      </c>
      <c r="I25" s="116">
        <f>_xlfn.XLOOKUP($A25,[11]Sheet1!$B$2:$B$59,[11]Sheet1!I$2:I$59)</f>
        <v>3801.707763671875</v>
      </c>
      <c r="J25" s="116">
        <f>_xlfn.XLOOKUP($A25,[11]Sheet1!$B$2:$B$59,[11]Sheet1!J$2:J$59)</f>
        <v>209</v>
      </c>
      <c r="K25" s="116">
        <f>_xlfn.XLOOKUP($A25,[11]Sheet1!$B$2:$B$59,[11]Sheet1!K$2:K$59)</f>
        <v>9.6000000000000014</v>
      </c>
      <c r="L25" s="116">
        <f>_xlfn.XLOOKUP($A25,[11]Sheet1!$B$2:$B$59,[11]Sheet1!L$2:L$59)</f>
        <v>417.78204345703125</v>
      </c>
      <c r="M25" s="116">
        <f>_xlfn.XLOOKUP($A25,[11]Sheet1!$B$2:$B$59,[11]Sheet1!M$2:M$59)</f>
        <v>4220</v>
      </c>
      <c r="O25" s="116">
        <f>_xlfn.XLOOKUP($A25,[11]Sheet1!$B$2:$B$59,[11]Sheet1!N$2:N$59)</f>
        <v>432</v>
      </c>
      <c r="P25" s="116">
        <f>_xlfn.XLOOKUP($A25,[11]Sheet1!$B$2:$B$59,[11]Sheet1!O$2:O$59)</f>
        <v>6.3000000000000007</v>
      </c>
      <c r="Q25" s="116">
        <f>_xlfn.XLOOKUP($A25,[11]Sheet1!$B$2:$B$59,[11]Sheet1!P$2:P$59)</f>
        <v>739</v>
      </c>
      <c r="S25" s="116">
        <f>_xlfn.XLOOKUP($A25,[11]Sheet1!$B$2:$B$59,[11]Sheet1!Q$2:Q$59)</f>
        <v>4959</v>
      </c>
    </row>
    <row r="26" spans="1:19" ht="20.100000000000001" customHeight="1" x14ac:dyDescent="0.3">
      <c r="A26" s="114" t="s">
        <v>25</v>
      </c>
      <c r="C26" s="116">
        <f>_xlfn.XLOOKUP($A26,[11]Sheet1!$B$2:$B$59,[11]Sheet1!C$2:C$59)</f>
        <v>5.4390444755554199</v>
      </c>
      <c r="D26" s="116">
        <f>_xlfn.XLOOKUP($A26,[11]Sheet1!$B$2:$B$59,[11]Sheet1!D$2:D$59)</f>
        <v>40.684547424316406</v>
      </c>
      <c r="E26" s="116">
        <f>_xlfn.XLOOKUP($A26,[11]Sheet1!$B$2:$B$59,[11]Sheet1!E$2:E$59)</f>
        <v>12.90003776550293</v>
      </c>
      <c r="F26" s="116">
        <f>_xlfn.XLOOKUP($A26,[11]Sheet1!$B$2:$B$59,[11]Sheet1!F$2:F$59)</f>
        <v>23.597621917724609</v>
      </c>
      <c r="G26" s="116">
        <f>_xlfn.XLOOKUP($A26,[11]Sheet1!$B$2:$B$59,[11]Sheet1!G$2:G$59)</f>
        <v>5.4285354614257813</v>
      </c>
      <c r="H26" s="116">
        <f>_xlfn.XLOOKUP($A26,[11]Sheet1!$B$2:$B$59,[11]Sheet1!H$2:H$59)</f>
        <v>8.2789163589477539</v>
      </c>
      <c r="I26" s="116">
        <f>_xlfn.XLOOKUP($A26,[11]Sheet1!$B$2:$B$59,[11]Sheet1!I$2:I$59)</f>
        <v>96.328704833984375</v>
      </c>
      <c r="J26" s="116">
        <f>_xlfn.XLOOKUP($A26,[11]Sheet1!$B$2:$B$59,[11]Sheet1!J$2:J$59)</f>
        <v>3</v>
      </c>
      <c r="K26" s="116">
        <f>_xlfn.XLOOKUP($A26,[11]Sheet1!$B$2:$B$59,[11]Sheet1!K$2:K$59)</f>
        <v>7.8000000000000007</v>
      </c>
      <c r="L26" s="116">
        <f>_xlfn.XLOOKUP($A26,[11]Sheet1!$B$2:$B$59,[11]Sheet1!L$2:L$59)</f>
        <v>12.73444938659668</v>
      </c>
      <c r="M26" s="116">
        <f>_xlfn.XLOOKUP($A26,[11]Sheet1!$B$2:$B$59,[11]Sheet1!M$2:M$59)</f>
        <v>110</v>
      </c>
      <c r="O26" s="116">
        <f>_xlfn.XLOOKUP($A26,[11]Sheet1!$B$2:$B$59,[11]Sheet1!N$2:N$59)</f>
        <v>5.86</v>
      </c>
      <c r="P26" s="116">
        <f>_xlfn.XLOOKUP($A26,[11]Sheet1!$B$2:$B$59,[11]Sheet1!O$2:O$59)</f>
        <v>5.1000000000000005</v>
      </c>
      <c r="Q26" s="116">
        <f>_xlfn.XLOOKUP($A26,[11]Sheet1!$B$2:$B$59,[11]Sheet1!P$2:P$59)</f>
        <v>23</v>
      </c>
      <c r="S26" s="116">
        <f>_xlfn.XLOOKUP($A26,[11]Sheet1!$B$2:$B$59,[11]Sheet1!Q$2:Q$59)</f>
        <v>133</v>
      </c>
    </row>
    <row r="27" spans="1:19" ht="20.100000000000001" customHeight="1" x14ac:dyDescent="0.3">
      <c r="A27" s="114" t="s">
        <v>26</v>
      </c>
      <c r="C27" s="116">
        <f>_xlfn.XLOOKUP($A27,[11]Sheet1!$B$2:$B$59,[11]Sheet1!C$2:C$59)</f>
        <v>9.0857753753662109</v>
      </c>
      <c r="D27" s="116">
        <f>_xlfn.XLOOKUP($A27,[11]Sheet1!$B$2:$B$59,[11]Sheet1!D$2:D$59)</f>
        <v>22.866546630859375</v>
      </c>
      <c r="E27" s="116">
        <f>_xlfn.XLOOKUP($A27,[11]Sheet1!$B$2:$B$59,[11]Sheet1!E$2:E$59)</f>
        <v>16.833639144897461</v>
      </c>
      <c r="F27" s="116">
        <f>_xlfn.XLOOKUP($A27,[11]Sheet1!$B$2:$B$59,[11]Sheet1!F$2:F$59)</f>
        <v>13.224203109741211</v>
      </c>
      <c r="G27" s="116">
        <f>_xlfn.XLOOKUP($A27,[11]Sheet1!$B$2:$B$59,[11]Sheet1!G$2:G$59)</f>
        <v>11.303020477294922</v>
      </c>
      <c r="H27" s="116">
        <f>_xlfn.XLOOKUP($A27,[11]Sheet1!$B$2:$B$59,[11]Sheet1!H$2:H$59)</f>
        <v>3.1667881011962891</v>
      </c>
      <c r="I27" s="116">
        <f>_xlfn.XLOOKUP($A27,[11]Sheet1!$B$2:$B$59,[11]Sheet1!I$2:I$59)</f>
        <v>76.479972839355469</v>
      </c>
      <c r="J27" s="116">
        <f>_xlfn.XLOOKUP($A27,[11]Sheet1!$B$2:$B$59,[11]Sheet1!J$2:J$59)</f>
        <v>4.75</v>
      </c>
      <c r="K27" s="116">
        <f>_xlfn.XLOOKUP($A27,[11]Sheet1!$B$2:$B$59,[11]Sheet1!K$2:K$59)</f>
        <v>7.8000000000000007</v>
      </c>
      <c r="L27" s="116">
        <f>_xlfn.XLOOKUP($A27,[11]Sheet1!$B$2:$B$59,[11]Sheet1!L$2:L$59)</f>
        <v>10.414098739624023</v>
      </c>
      <c r="M27" s="116">
        <f>_xlfn.XLOOKUP($A27,[11]Sheet1!$B$2:$B$59,[11]Sheet1!M$2:M$59)</f>
        <v>87</v>
      </c>
      <c r="O27" s="116">
        <f>_xlfn.XLOOKUP($A27,[11]Sheet1!$B$2:$B$59,[11]Sheet1!N$2:N$59)</f>
        <v>7.25</v>
      </c>
      <c r="P27" s="116">
        <f>_xlfn.XLOOKUP($A27,[11]Sheet1!$B$2:$B$59,[11]Sheet1!O$2:O$59)</f>
        <v>5.1000000000000005</v>
      </c>
      <c r="Q27" s="116">
        <f>_xlfn.XLOOKUP($A27,[11]Sheet1!$B$2:$B$59,[11]Sheet1!P$2:P$59)</f>
        <v>19</v>
      </c>
      <c r="S27" s="116">
        <f>_xlfn.XLOOKUP($A27,[11]Sheet1!$B$2:$B$59,[11]Sheet1!Q$2:Q$59)</f>
        <v>106</v>
      </c>
    </row>
    <row r="28" spans="1:19" ht="20.100000000000001" customHeight="1" x14ac:dyDescent="0.3">
      <c r="A28" s="114" t="s">
        <v>12</v>
      </c>
      <c r="C28" s="116">
        <f>_xlfn.XLOOKUP($A28,[11]Sheet1!$B$2:$B$59,[11]Sheet1!C$2:C$59)</f>
        <v>0.61246359348297119</v>
      </c>
      <c r="D28" s="116">
        <f>_xlfn.XLOOKUP($A28,[11]Sheet1!$B$2:$B$59,[11]Sheet1!D$2:D$59)</f>
        <v>4.6290221214294434</v>
      </c>
      <c r="E28" s="116">
        <f>_xlfn.XLOOKUP($A28,[11]Sheet1!$B$2:$B$59,[11]Sheet1!E$2:E$59)</f>
        <v>0.85538822412490845</v>
      </c>
      <c r="F28" s="116">
        <f>_xlfn.XLOOKUP($A28,[11]Sheet1!$B$2:$B$59,[11]Sheet1!F$2:F$59)</f>
        <v>1.3856648206710815</v>
      </c>
      <c r="G28" s="116">
        <f>_xlfn.XLOOKUP($A28,[11]Sheet1!$B$2:$B$59,[11]Sheet1!G$2:G$59)</f>
        <v>0.56761586666107178</v>
      </c>
      <c r="H28" s="116">
        <f>_xlfn.XLOOKUP($A28,[11]Sheet1!$B$2:$B$59,[11]Sheet1!H$2:H$59)</f>
        <v>0.69538068771362305</v>
      </c>
      <c r="I28" s="116">
        <f>_xlfn.XLOOKUP($A28,[11]Sheet1!$B$2:$B$59,[11]Sheet1!I$2:I$59)</f>
        <v>8.7455348968505859</v>
      </c>
      <c r="J28" s="116">
        <f>_xlfn.XLOOKUP($A28,[11]Sheet1!$B$2:$B$59,[11]Sheet1!J$2:J$59)</f>
        <v>0</v>
      </c>
      <c r="K28" s="116">
        <f>_xlfn.XLOOKUP($A28,[11]Sheet1!$B$2:$B$59,[11]Sheet1!K$2:K$59)</f>
        <v>6.6000000000000005</v>
      </c>
      <c r="L28" s="116">
        <f>_xlfn.XLOOKUP($A28,[11]Sheet1!$B$2:$B$59,[11]Sheet1!L$2:L$59)</f>
        <v>1.3250809907913208</v>
      </c>
      <c r="M28" s="116">
        <f>_xlfn.XLOOKUP($A28,[11]Sheet1!$B$2:$B$59,[11]Sheet1!M$2:M$59)</f>
        <v>11</v>
      </c>
      <c r="O28" s="116">
        <f>_xlfn.XLOOKUP($A28,[11]Sheet1!$B$2:$B$59,[11]Sheet1!N$2:N$59)</f>
        <v>2.3000000000000003</v>
      </c>
      <c r="P28" s="116">
        <f>_xlfn.XLOOKUP($A28,[11]Sheet1!$B$2:$B$59,[11]Sheet1!O$2:O$59)</f>
        <v>3.5</v>
      </c>
      <c r="Q28" s="116">
        <f>_xlfn.XLOOKUP($A28,[11]Sheet1!$B$2:$B$59,[11]Sheet1!P$2:P$59)</f>
        <v>4</v>
      </c>
      <c r="S28" s="116">
        <f>_xlfn.XLOOKUP($A28,[11]Sheet1!$B$2:$B$59,[11]Sheet1!Q$2:Q$59)</f>
        <v>15</v>
      </c>
    </row>
    <row r="29" spans="1:19" ht="20.100000000000001" customHeight="1" x14ac:dyDescent="0.3">
      <c r="A29" s="114" t="s">
        <v>27</v>
      </c>
      <c r="C29" s="116">
        <f>_xlfn.XLOOKUP($A29,[11]Sheet1!$B$2:$B$59,[11]Sheet1!C$2:C$59)</f>
        <v>4.9240851402282715</v>
      </c>
      <c r="D29" s="116">
        <f>_xlfn.XLOOKUP($A29,[11]Sheet1!$B$2:$B$59,[11]Sheet1!D$2:D$59)</f>
        <v>23.987146377563477</v>
      </c>
      <c r="E29" s="116">
        <f>_xlfn.XLOOKUP($A29,[11]Sheet1!$B$2:$B$59,[11]Sheet1!E$2:E$59)</f>
        <v>7.3824238777160645</v>
      </c>
      <c r="F29" s="116">
        <f>_xlfn.XLOOKUP($A29,[11]Sheet1!$B$2:$B$59,[11]Sheet1!F$2:F$59)</f>
        <v>8.4009599685668945</v>
      </c>
      <c r="G29" s="116">
        <f>_xlfn.XLOOKUP($A29,[11]Sheet1!$B$2:$B$59,[11]Sheet1!G$2:G$59)</f>
        <v>2.7112963199615479</v>
      </c>
      <c r="H29" s="116">
        <f>_xlfn.XLOOKUP($A29,[11]Sheet1!$B$2:$B$59,[11]Sheet1!H$2:H$59)</f>
        <v>3.7301511764526367</v>
      </c>
      <c r="I29" s="116">
        <f>_xlfn.XLOOKUP($A29,[11]Sheet1!$B$2:$B$59,[11]Sheet1!I$2:I$59)</f>
        <v>51.136062622070313</v>
      </c>
      <c r="J29" s="116">
        <f>_xlfn.XLOOKUP($A29,[11]Sheet1!$B$2:$B$59,[11]Sheet1!J$2:J$59)</f>
        <v>1</v>
      </c>
      <c r="K29" s="116">
        <f>_xlfn.XLOOKUP($A29,[11]Sheet1!$B$2:$B$59,[11]Sheet1!K$2:K$59)</f>
        <v>7.8000000000000007</v>
      </c>
      <c r="L29" s="116">
        <f>_xlfn.XLOOKUP($A29,[11]Sheet1!$B$2:$B$59,[11]Sheet1!L$2:L$59)</f>
        <v>6.6841106414794922</v>
      </c>
      <c r="M29" s="116">
        <f>_xlfn.XLOOKUP($A29,[11]Sheet1!$B$2:$B$59,[11]Sheet1!M$2:M$59)</f>
        <v>58</v>
      </c>
      <c r="O29" s="116">
        <f>_xlfn.XLOOKUP($A29,[11]Sheet1!$B$2:$B$59,[11]Sheet1!N$2:N$59)</f>
        <v>4.1500000000000004</v>
      </c>
      <c r="P29" s="116">
        <f>_xlfn.XLOOKUP($A29,[11]Sheet1!$B$2:$B$59,[11]Sheet1!O$2:O$59)</f>
        <v>5.1000000000000005</v>
      </c>
      <c r="Q29" s="116">
        <f>_xlfn.XLOOKUP($A29,[11]Sheet1!$B$2:$B$59,[11]Sheet1!P$2:P$59)</f>
        <v>13</v>
      </c>
      <c r="S29" s="116">
        <f>_xlfn.XLOOKUP($A29,[11]Sheet1!$B$2:$B$59,[11]Sheet1!Q$2:Q$59)</f>
        <v>71</v>
      </c>
    </row>
    <row r="30" spans="1:19" ht="20.100000000000001" customHeight="1" x14ac:dyDescent="0.3">
      <c r="A30" s="114" t="s">
        <v>28</v>
      </c>
      <c r="C30" s="116">
        <f>_xlfn.XLOOKUP($A30,[11]Sheet1!$B$2:$B$59,[11]Sheet1!C$2:C$59)</f>
        <v>10.047098159790039</v>
      </c>
      <c r="D30" s="116">
        <f>_xlfn.XLOOKUP($A30,[11]Sheet1!$B$2:$B$59,[11]Sheet1!D$2:D$59)</f>
        <v>53.1861572265625</v>
      </c>
      <c r="E30" s="116">
        <f>_xlfn.XLOOKUP($A30,[11]Sheet1!$B$2:$B$59,[11]Sheet1!E$2:E$59)</f>
        <v>23.134176254272461</v>
      </c>
      <c r="F30" s="116">
        <f>_xlfn.XLOOKUP($A30,[11]Sheet1!$B$2:$B$59,[11]Sheet1!F$2:F$59)</f>
        <v>23.120695114135742</v>
      </c>
      <c r="G30" s="116">
        <f>_xlfn.XLOOKUP($A30,[11]Sheet1!$B$2:$B$59,[11]Sheet1!G$2:G$59)</f>
        <v>7.2075872421264648</v>
      </c>
      <c r="H30" s="116">
        <f>_xlfn.XLOOKUP($A30,[11]Sheet1!$B$2:$B$59,[11]Sheet1!H$2:H$59)</f>
        <v>9.1137161254882813</v>
      </c>
      <c r="I30" s="116">
        <f>_xlfn.XLOOKUP($A30,[11]Sheet1!$B$2:$B$59,[11]Sheet1!I$2:I$59)</f>
        <v>125.80943298339844</v>
      </c>
      <c r="J30" s="116">
        <f>_xlfn.XLOOKUP($A30,[11]Sheet1!$B$2:$B$59,[11]Sheet1!J$2:J$59)</f>
        <v>3.5</v>
      </c>
      <c r="K30" s="116">
        <f>_xlfn.XLOOKUP($A30,[11]Sheet1!$B$2:$B$59,[11]Sheet1!K$2:K$59)</f>
        <v>7.8000000000000007</v>
      </c>
      <c r="L30" s="116">
        <f>_xlfn.XLOOKUP($A30,[11]Sheet1!$B$2:$B$59,[11]Sheet1!L$2:L$59)</f>
        <v>16.578132629394531</v>
      </c>
      <c r="M30" s="116">
        <f>_xlfn.XLOOKUP($A30,[11]Sheet1!$B$2:$B$59,[11]Sheet1!M$2:M$59)</f>
        <v>143</v>
      </c>
      <c r="O30" s="116">
        <f>_xlfn.XLOOKUP($A30,[11]Sheet1!$B$2:$B$59,[11]Sheet1!N$2:N$59)</f>
        <v>11.5</v>
      </c>
      <c r="P30" s="116">
        <f>_xlfn.XLOOKUP($A30,[11]Sheet1!$B$2:$B$59,[11]Sheet1!O$2:O$59)</f>
        <v>5.1000000000000005</v>
      </c>
      <c r="Q30" s="116">
        <f>_xlfn.XLOOKUP($A30,[11]Sheet1!$B$2:$B$59,[11]Sheet1!P$2:P$59)</f>
        <v>31</v>
      </c>
      <c r="S30" s="116">
        <f>_xlfn.XLOOKUP($A30,[11]Sheet1!$B$2:$B$59,[11]Sheet1!Q$2:Q$59)</f>
        <v>174</v>
      </c>
    </row>
    <row r="31" spans="1:19" ht="20.100000000000001" customHeight="1" x14ac:dyDescent="0.3">
      <c r="A31" s="114" t="s">
        <v>13</v>
      </c>
      <c r="C31" s="116">
        <f>_xlfn.XLOOKUP($A31,[11]Sheet1!$B$2:$B$59,[11]Sheet1!C$2:C$59)</f>
        <v>0.50528252124786377</v>
      </c>
      <c r="D31" s="116">
        <f>_xlfn.XLOOKUP($A31,[11]Sheet1!$B$2:$B$59,[11]Sheet1!D$2:D$59)</f>
        <v>3.5425221920013428</v>
      </c>
      <c r="E31" s="116">
        <f>_xlfn.XLOOKUP($A31,[11]Sheet1!$B$2:$B$59,[11]Sheet1!E$2:E$59)</f>
        <v>0.68557143211364746</v>
      </c>
      <c r="F31" s="116">
        <f>_xlfn.XLOOKUP($A31,[11]Sheet1!$B$2:$B$59,[11]Sheet1!F$2:F$59)</f>
        <v>1.4728659391403198</v>
      </c>
      <c r="G31" s="116">
        <f>_xlfn.XLOOKUP($A31,[11]Sheet1!$B$2:$B$59,[11]Sheet1!G$2:G$59)</f>
        <v>0.61696958541870117</v>
      </c>
      <c r="H31" s="116">
        <f>_xlfn.XLOOKUP($A31,[11]Sheet1!$B$2:$B$59,[11]Sheet1!H$2:H$59)</f>
        <v>0.66927379369735718</v>
      </c>
      <c r="I31" s="116">
        <f>_xlfn.XLOOKUP($A31,[11]Sheet1!$B$2:$B$59,[11]Sheet1!I$2:I$59)</f>
        <v>7.492485523223877</v>
      </c>
      <c r="J31" s="116">
        <f>_xlfn.XLOOKUP($A31,[11]Sheet1!$B$2:$B$59,[11]Sheet1!J$2:J$59)</f>
        <v>0</v>
      </c>
      <c r="K31" s="116">
        <f>_xlfn.XLOOKUP($A31,[11]Sheet1!$B$2:$B$59,[11]Sheet1!K$2:K$59)</f>
        <v>6.6000000000000005</v>
      </c>
      <c r="L31" s="116">
        <f>_xlfn.XLOOKUP($A31,[11]Sheet1!$B$2:$B$59,[11]Sheet1!L$2:L$59)</f>
        <v>1.1352250576019287</v>
      </c>
      <c r="M31" s="116">
        <f>_xlfn.XLOOKUP($A31,[11]Sheet1!$B$2:$B$59,[11]Sheet1!M$2:M$59)</f>
        <v>9</v>
      </c>
      <c r="O31" s="116">
        <f>_xlfn.XLOOKUP($A31,[11]Sheet1!$B$2:$B$59,[11]Sheet1!N$2:N$59)</f>
        <v>1.8</v>
      </c>
      <c r="P31" s="116">
        <f>_xlfn.XLOOKUP($A31,[11]Sheet1!$B$2:$B$59,[11]Sheet1!O$2:O$59)</f>
        <v>3.5</v>
      </c>
      <c r="Q31" s="116">
        <f>_xlfn.XLOOKUP($A31,[11]Sheet1!$B$2:$B$59,[11]Sheet1!P$2:P$59)</f>
        <v>4</v>
      </c>
      <c r="S31" s="116">
        <f>_xlfn.XLOOKUP($A31,[11]Sheet1!$B$2:$B$59,[11]Sheet1!Q$2:Q$59)</f>
        <v>13</v>
      </c>
    </row>
    <row r="32" spans="1:19" ht="20.100000000000001" customHeight="1" x14ac:dyDescent="0.3">
      <c r="A32" s="114" t="s">
        <v>14</v>
      </c>
      <c r="C32" s="116">
        <f>_xlfn.XLOOKUP($A32,[11]Sheet1!$B$2:$B$59,[11]Sheet1!C$2:C$59)</f>
        <v>2.1762058734893799</v>
      </c>
      <c r="D32" s="116">
        <f>_xlfn.XLOOKUP($A32,[11]Sheet1!$B$2:$B$59,[11]Sheet1!D$2:D$59)</f>
        <v>3.0276763439178467</v>
      </c>
      <c r="E32" s="116">
        <f>_xlfn.XLOOKUP($A32,[11]Sheet1!$B$2:$B$59,[11]Sheet1!E$2:E$59)</f>
        <v>0.8934934139251709</v>
      </c>
      <c r="F32" s="116">
        <f>_xlfn.XLOOKUP($A32,[11]Sheet1!$B$2:$B$59,[11]Sheet1!F$2:F$59)</f>
        <v>0.81894582509994507</v>
      </c>
      <c r="G32" s="116">
        <f>_xlfn.XLOOKUP($A32,[11]Sheet1!$B$2:$B$59,[11]Sheet1!G$2:G$59)</f>
        <v>0.28429347276687622</v>
      </c>
      <c r="H32" s="116">
        <f>_xlfn.XLOOKUP($A32,[11]Sheet1!$B$2:$B$59,[11]Sheet1!H$2:H$59)</f>
        <v>0.24541261792182922</v>
      </c>
      <c r="I32" s="116">
        <f>_xlfn.XLOOKUP($A32,[11]Sheet1!$B$2:$B$59,[11]Sheet1!I$2:I$59)</f>
        <v>7.4460277557373047</v>
      </c>
      <c r="J32" s="116">
        <f>_xlfn.XLOOKUP($A32,[11]Sheet1!$B$2:$B$59,[11]Sheet1!J$2:J$59)</f>
        <v>0.60000000000000009</v>
      </c>
      <c r="K32" s="116">
        <f>_xlfn.XLOOKUP($A32,[11]Sheet1!$B$2:$B$59,[11]Sheet1!K$2:K$59)</f>
        <v>6.6000000000000005</v>
      </c>
      <c r="L32" s="116">
        <f>_xlfn.XLOOKUP($A32,[11]Sheet1!$B$2:$B$59,[11]Sheet1!L$2:L$59)</f>
        <v>1.2190951108932495</v>
      </c>
      <c r="M32" s="116">
        <f>_xlfn.XLOOKUP($A32,[11]Sheet1!$B$2:$B$59,[11]Sheet1!M$2:M$59)</f>
        <v>9</v>
      </c>
      <c r="O32" s="116">
        <f>_xlfn.XLOOKUP($A32,[11]Sheet1!$B$2:$B$59,[11]Sheet1!N$2:N$59)</f>
        <v>1.615</v>
      </c>
      <c r="P32" s="116">
        <f>_xlfn.XLOOKUP($A32,[11]Sheet1!$B$2:$B$59,[11]Sheet1!O$2:O$59)</f>
        <v>3.5</v>
      </c>
      <c r="Q32" s="116">
        <f>_xlfn.XLOOKUP($A32,[11]Sheet1!$B$2:$B$59,[11]Sheet1!P$2:P$59)</f>
        <v>4</v>
      </c>
      <c r="S32" s="116">
        <f>_xlfn.XLOOKUP($A32,[11]Sheet1!$B$2:$B$59,[11]Sheet1!Q$2:Q$59)</f>
        <v>13</v>
      </c>
    </row>
    <row r="33" spans="1:19" ht="20.100000000000001" customHeight="1" x14ac:dyDescent="0.3">
      <c r="A33" s="114" t="s">
        <v>44</v>
      </c>
      <c r="C33" s="116">
        <f>_xlfn.XLOOKUP($A33,[11]Sheet1!$B$2:$B$59,[11]Sheet1!C$2:C$59)</f>
        <v>11.943285942077637</v>
      </c>
      <c r="D33" s="116">
        <f>_xlfn.XLOOKUP($A33,[11]Sheet1!$B$2:$B$59,[11]Sheet1!D$2:D$59)</f>
        <v>77.596725463867188</v>
      </c>
      <c r="E33" s="116">
        <f>_xlfn.XLOOKUP($A33,[11]Sheet1!$B$2:$B$59,[11]Sheet1!E$2:E$59)</f>
        <v>27.230247497558594</v>
      </c>
      <c r="F33" s="116">
        <f>_xlfn.XLOOKUP($A33,[11]Sheet1!$B$2:$B$59,[11]Sheet1!F$2:F$59)</f>
        <v>28.755123138427734</v>
      </c>
      <c r="G33" s="116">
        <f>_xlfn.XLOOKUP($A33,[11]Sheet1!$B$2:$B$59,[11]Sheet1!G$2:G$59)</f>
        <v>12.03093147277832</v>
      </c>
      <c r="H33" s="116">
        <f>_xlfn.XLOOKUP($A33,[11]Sheet1!$B$2:$B$59,[11]Sheet1!H$2:H$59)</f>
        <v>10.920454025268555</v>
      </c>
      <c r="I33" s="116">
        <f>_xlfn.XLOOKUP($A33,[11]Sheet1!$B$2:$B$59,[11]Sheet1!I$2:I$59)</f>
        <v>168.47676086425781</v>
      </c>
      <c r="J33" s="116">
        <f>_xlfn.XLOOKUP($A33,[11]Sheet1!$B$2:$B$59,[11]Sheet1!J$2:J$59)</f>
        <v>8</v>
      </c>
      <c r="K33" s="116">
        <f>_xlfn.XLOOKUP($A33,[11]Sheet1!$B$2:$B$59,[11]Sheet1!K$2:K$59)</f>
        <v>8.4</v>
      </c>
      <c r="L33" s="116">
        <f>_xlfn.XLOOKUP($A33,[11]Sheet1!$B$2:$B$59,[11]Sheet1!L$2:L$59)</f>
        <v>21.009138107299805</v>
      </c>
      <c r="M33" s="116">
        <f>_xlfn.XLOOKUP($A33,[11]Sheet1!$B$2:$B$59,[11]Sheet1!M$2:M$59)</f>
        <v>190</v>
      </c>
      <c r="O33" s="116">
        <f>_xlfn.XLOOKUP($A33,[11]Sheet1!$B$2:$B$59,[11]Sheet1!N$2:N$59)</f>
        <v>13.2</v>
      </c>
      <c r="P33" s="116">
        <f>_xlfn.XLOOKUP($A33,[11]Sheet1!$B$2:$B$59,[11]Sheet1!O$2:O$59)</f>
        <v>6.3000000000000007</v>
      </c>
      <c r="Q33" s="116">
        <f>_xlfn.XLOOKUP($A33,[11]Sheet1!$B$2:$B$59,[11]Sheet1!P$2:P$59)</f>
        <v>33</v>
      </c>
      <c r="S33" s="116">
        <f>_xlfn.XLOOKUP($A33,[11]Sheet1!$B$2:$B$59,[11]Sheet1!Q$2:Q$59)</f>
        <v>223</v>
      </c>
    </row>
    <row r="34" spans="1:19" ht="20.100000000000001" customHeight="1" x14ac:dyDescent="0.3">
      <c r="A34" s="114" t="s">
        <v>29</v>
      </c>
      <c r="C34" s="116">
        <f>_xlfn.XLOOKUP($A34,[11]Sheet1!$B$2:$B$59,[11]Sheet1!C$2:C$59)</f>
        <v>5.0563774108886719</v>
      </c>
      <c r="D34" s="116">
        <f>_xlfn.XLOOKUP($A34,[11]Sheet1!$B$2:$B$59,[11]Sheet1!D$2:D$59)</f>
        <v>21.34620475769043</v>
      </c>
      <c r="E34" s="116">
        <f>_xlfn.XLOOKUP($A34,[11]Sheet1!$B$2:$B$59,[11]Sheet1!E$2:E$59)</f>
        <v>10.715941429138184</v>
      </c>
      <c r="F34" s="116">
        <f>_xlfn.XLOOKUP($A34,[11]Sheet1!$B$2:$B$59,[11]Sheet1!F$2:F$59)</f>
        <v>8.8627405166625977</v>
      </c>
      <c r="G34" s="116">
        <f>_xlfn.XLOOKUP($A34,[11]Sheet1!$B$2:$B$59,[11]Sheet1!G$2:G$59)</f>
        <v>4.8586139678955078</v>
      </c>
      <c r="H34" s="116">
        <f>_xlfn.XLOOKUP($A34,[11]Sheet1!$B$2:$B$59,[11]Sheet1!H$2:H$59)</f>
        <v>3.1717977523803711</v>
      </c>
      <c r="I34" s="116">
        <f>_xlfn.XLOOKUP($A34,[11]Sheet1!$B$2:$B$59,[11]Sheet1!I$2:I$59)</f>
        <v>54.011676788330078</v>
      </c>
      <c r="J34" s="116">
        <f>_xlfn.XLOOKUP($A34,[11]Sheet1!$B$2:$B$59,[11]Sheet1!J$2:J$59)</f>
        <v>0</v>
      </c>
      <c r="K34" s="116">
        <f>_xlfn.XLOOKUP($A34,[11]Sheet1!$B$2:$B$59,[11]Sheet1!K$2:K$59)</f>
        <v>7.8000000000000007</v>
      </c>
      <c r="L34" s="116">
        <f>_xlfn.XLOOKUP($A34,[11]Sheet1!$B$2:$B$59,[11]Sheet1!L$2:L$59)</f>
        <v>6.9245738983154297</v>
      </c>
      <c r="M34" s="116">
        <f>_xlfn.XLOOKUP($A34,[11]Sheet1!$B$2:$B$59,[11]Sheet1!M$2:M$59)</f>
        <v>61</v>
      </c>
      <c r="O34" s="116">
        <f>_xlfn.XLOOKUP($A34,[11]Sheet1!$B$2:$B$59,[11]Sheet1!N$2:N$59)</f>
        <v>2.5</v>
      </c>
      <c r="P34" s="116">
        <f>_xlfn.XLOOKUP($A34,[11]Sheet1!$B$2:$B$59,[11]Sheet1!O$2:O$59)</f>
        <v>5.1000000000000005</v>
      </c>
      <c r="Q34" s="116">
        <f>_xlfn.XLOOKUP($A34,[11]Sheet1!$B$2:$B$59,[11]Sheet1!P$2:P$59)</f>
        <v>13</v>
      </c>
      <c r="S34" s="116">
        <f>_xlfn.XLOOKUP($A34,[11]Sheet1!$B$2:$B$59,[11]Sheet1!Q$2:Q$59)</f>
        <v>74</v>
      </c>
    </row>
    <row r="35" spans="1:19" ht="20.100000000000001" customHeight="1" x14ac:dyDescent="0.3">
      <c r="A35" s="114" t="s">
        <v>30</v>
      </c>
      <c r="C35" s="116">
        <f>_xlfn.XLOOKUP($A35,[11]Sheet1!$B$2:$B$59,[11]Sheet1!C$2:C$59)</f>
        <v>3.2178840637207031</v>
      </c>
      <c r="D35" s="116">
        <f>_xlfn.XLOOKUP($A35,[11]Sheet1!$B$2:$B$59,[11]Sheet1!D$2:D$59)</f>
        <v>13.073994636535645</v>
      </c>
      <c r="E35" s="116">
        <f>_xlfn.XLOOKUP($A35,[11]Sheet1!$B$2:$B$59,[11]Sheet1!E$2:E$59)</f>
        <v>8.4734392166137695</v>
      </c>
      <c r="F35" s="116">
        <f>_xlfn.XLOOKUP($A35,[11]Sheet1!$B$2:$B$59,[11]Sheet1!F$2:F$59)</f>
        <v>9.0776138305664063</v>
      </c>
      <c r="G35" s="116">
        <f>_xlfn.XLOOKUP($A35,[11]Sheet1!$B$2:$B$59,[11]Sheet1!G$2:G$59)</f>
        <v>3.4989211559295654</v>
      </c>
      <c r="H35" s="116">
        <f>_xlfn.XLOOKUP($A35,[11]Sheet1!$B$2:$B$59,[11]Sheet1!H$2:H$59)</f>
        <v>1.4289692640304565</v>
      </c>
      <c r="I35" s="116">
        <f>_xlfn.XLOOKUP($A35,[11]Sheet1!$B$2:$B$59,[11]Sheet1!I$2:I$59)</f>
        <v>38.770820617675781</v>
      </c>
      <c r="J35" s="116">
        <f>_xlfn.XLOOKUP($A35,[11]Sheet1!$B$2:$B$59,[11]Sheet1!J$2:J$59)</f>
        <v>0</v>
      </c>
      <c r="K35" s="116">
        <f>_xlfn.XLOOKUP($A35,[11]Sheet1!$B$2:$B$59,[11]Sheet1!K$2:K$59)</f>
        <v>7.8000000000000007</v>
      </c>
      <c r="L35" s="116">
        <f>_xlfn.XLOOKUP($A35,[11]Sheet1!$B$2:$B$59,[11]Sheet1!L$2:L$59)</f>
        <v>4.9706182479858398</v>
      </c>
      <c r="M35" s="116">
        <f>_xlfn.XLOOKUP($A35,[11]Sheet1!$B$2:$B$59,[11]Sheet1!M$2:M$59)</f>
        <v>44</v>
      </c>
      <c r="O35" s="116">
        <f>_xlfn.XLOOKUP($A35,[11]Sheet1!$B$2:$B$59,[11]Sheet1!N$2:N$59)</f>
        <v>5.6</v>
      </c>
      <c r="P35" s="116">
        <f>_xlfn.XLOOKUP($A35,[11]Sheet1!$B$2:$B$59,[11]Sheet1!O$2:O$59)</f>
        <v>5.1000000000000005</v>
      </c>
      <c r="Q35" s="116">
        <f>_xlfn.XLOOKUP($A35,[11]Sheet1!$B$2:$B$59,[11]Sheet1!P$2:P$59)</f>
        <v>10</v>
      </c>
      <c r="S35" s="116">
        <f>_xlfn.XLOOKUP($A35,[11]Sheet1!$B$2:$B$59,[11]Sheet1!Q$2:Q$59)</f>
        <v>54</v>
      </c>
    </row>
    <row r="36" spans="1:19" ht="20.100000000000001" customHeight="1" x14ac:dyDescent="0.3">
      <c r="A36" s="114" t="s">
        <v>55</v>
      </c>
      <c r="C36" s="116">
        <f>_xlfn.XLOOKUP($A36,[11]Sheet1!$B$2:$B$59,[11]Sheet1!C$2:C$59)</f>
        <v>84.502220153808594</v>
      </c>
      <c r="D36" s="116">
        <f>_xlfn.XLOOKUP($A36,[11]Sheet1!$B$2:$B$59,[11]Sheet1!D$2:D$59)</f>
        <v>478.97006225585938</v>
      </c>
      <c r="E36" s="116">
        <f>_xlfn.XLOOKUP($A36,[11]Sheet1!$B$2:$B$59,[11]Sheet1!E$2:E$59)</f>
        <v>295.05462646484375</v>
      </c>
      <c r="F36" s="116">
        <f>_xlfn.XLOOKUP($A36,[11]Sheet1!$B$2:$B$59,[11]Sheet1!F$2:F$59)</f>
        <v>197.7154541015625</v>
      </c>
      <c r="G36" s="116">
        <f>_xlfn.XLOOKUP($A36,[11]Sheet1!$B$2:$B$59,[11]Sheet1!G$2:G$59)</f>
        <v>65.954971313476563</v>
      </c>
      <c r="H36" s="116">
        <f>_xlfn.XLOOKUP($A36,[11]Sheet1!$B$2:$B$59,[11]Sheet1!H$2:H$59)</f>
        <v>56.762615203857422</v>
      </c>
      <c r="I36" s="116">
        <f>_xlfn.XLOOKUP($A36,[11]Sheet1!$B$2:$B$59,[11]Sheet1!I$2:I$59)</f>
        <v>1178.9599609375</v>
      </c>
      <c r="J36" s="116">
        <f>_xlfn.XLOOKUP($A36,[11]Sheet1!$B$2:$B$59,[11]Sheet1!J$2:J$59)</f>
        <v>50.587500000000006</v>
      </c>
      <c r="K36" s="116">
        <f>_xlfn.XLOOKUP($A36,[11]Sheet1!$B$2:$B$59,[11]Sheet1!K$2:K$59)</f>
        <v>9.6000000000000014</v>
      </c>
      <c r="L36" s="116">
        <f>_xlfn.XLOOKUP($A36,[11]Sheet1!$B$2:$B$59,[11]Sheet1!L$2:L$59)</f>
        <v>128.07786560058594</v>
      </c>
      <c r="M36" s="116">
        <f>_xlfn.XLOOKUP($A36,[11]Sheet1!$B$2:$B$59,[11]Sheet1!M$2:M$59)</f>
        <v>1308</v>
      </c>
      <c r="O36" s="116">
        <f>_xlfn.XLOOKUP($A36,[11]Sheet1!$B$2:$B$59,[11]Sheet1!N$2:N$59)</f>
        <v>161.86750000000001</v>
      </c>
      <c r="P36" s="116">
        <f>_xlfn.XLOOKUP($A36,[11]Sheet1!$B$2:$B$59,[11]Sheet1!O$2:O$59)</f>
        <v>6.3000000000000007</v>
      </c>
      <c r="Q36" s="116">
        <f>_xlfn.XLOOKUP($A36,[11]Sheet1!$B$2:$B$59,[11]Sheet1!P$2:P$59)</f>
        <v>234</v>
      </c>
      <c r="S36" s="116">
        <f>_xlfn.XLOOKUP($A36,[11]Sheet1!$B$2:$B$59,[11]Sheet1!Q$2:Q$59)</f>
        <v>1542</v>
      </c>
    </row>
    <row r="37" spans="1:19" ht="20.100000000000001" customHeight="1" x14ac:dyDescent="0.3">
      <c r="A37" s="114" t="s">
        <v>31</v>
      </c>
      <c r="C37" s="116">
        <f>_xlfn.XLOOKUP($A37,[11]Sheet1!$B$2:$B$59,[11]Sheet1!C$2:C$59)</f>
        <v>8.7307910919189453</v>
      </c>
      <c r="D37" s="116">
        <f>_xlfn.XLOOKUP($A37,[11]Sheet1!$B$2:$B$59,[11]Sheet1!D$2:D$59)</f>
        <v>63.351081848144531</v>
      </c>
      <c r="E37" s="116">
        <f>_xlfn.XLOOKUP($A37,[11]Sheet1!$B$2:$B$59,[11]Sheet1!E$2:E$59)</f>
        <v>29.464700698852539</v>
      </c>
      <c r="F37" s="116">
        <f>_xlfn.XLOOKUP($A37,[11]Sheet1!$B$2:$B$59,[11]Sheet1!F$2:F$59)</f>
        <v>29.083776473999023</v>
      </c>
      <c r="G37" s="116">
        <f>_xlfn.XLOOKUP($A37,[11]Sheet1!$B$2:$B$59,[11]Sheet1!G$2:G$59)</f>
        <v>10.821035385131836</v>
      </c>
      <c r="H37" s="116">
        <f>_xlfn.XLOOKUP($A37,[11]Sheet1!$B$2:$B$59,[11]Sheet1!H$2:H$59)</f>
        <v>7.3992314338684082</v>
      </c>
      <c r="I37" s="116">
        <f>_xlfn.XLOOKUP($A37,[11]Sheet1!$B$2:$B$59,[11]Sheet1!I$2:I$59)</f>
        <v>148.85061645507813</v>
      </c>
      <c r="J37" s="116">
        <f>_xlfn.XLOOKUP($A37,[11]Sheet1!$B$2:$B$59,[11]Sheet1!J$2:J$59)</f>
        <v>2.9</v>
      </c>
      <c r="K37" s="116">
        <f>_xlfn.XLOOKUP($A37,[11]Sheet1!$B$2:$B$59,[11]Sheet1!K$2:K$59)</f>
        <v>7.8000000000000007</v>
      </c>
      <c r="L37" s="116">
        <f>_xlfn.XLOOKUP($A37,[11]Sheet1!$B$2:$B$59,[11]Sheet1!L$2:L$59)</f>
        <v>19.455207824707031</v>
      </c>
      <c r="M37" s="116">
        <f>_xlfn.XLOOKUP($A37,[11]Sheet1!$B$2:$B$59,[11]Sheet1!M$2:M$59)</f>
        <v>169</v>
      </c>
      <c r="O37" s="116">
        <f>_xlfn.XLOOKUP($A37,[11]Sheet1!$B$2:$B$59,[11]Sheet1!N$2:N$59)</f>
        <v>8.9</v>
      </c>
      <c r="P37" s="116">
        <f>_xlfn.XLOOKUP($A37,[11]Sheet1!$B$2:$B$59,[11]Sheet1!O$2:O$59)</f>
        <v>5.1000000000000005</v>
      </c>
      <c r="Q37" s="116">
        <f>_xlfn.XLOOKUP($A37,[11]Sheet1!$B$2:$B$59,[11]Sheet1!P$2:P$59)</f>
        <v>35</v>
      </c>
      <c r="S37" s="116">
        <f>_xlfn.XLOOKUP($A37,[11]Sheet1!$B$2:$B$59,[11]Sheet1!Q$2:Q$59)</f>
        <v>204</v>
      </c>
    </row>
    <row r="38" spans="1:19" ht="20.100000000000001" customHeight="1" x14ac:dyDescent="0.3">
      <c r="A38" s="114" t="s">
        <v>15</v>
      </c>
      <c r="C38" s="116">
        <f>_xlfn.XLOOKUP($A38,[11]Sheet1!$B$2:$B$59,[11]Sheet1!C$2:C$59)</f>
        <v>0.72282958030700684</v>
      </c>
      <c r="D38" s="116">
        <f>_xlfn.XLOOKUP($A38,[11]Sheet1!$B$2:$B$59,[11]Sheet1!D$2:D$59)</f>
        <v>2.7957463264465332</v>
      </c>
      <c r="E38" s="116">
        <f>_xlfn.XLOOKUP($A38,[11]Sheet1!$B$2:$B$59,[11]Sheet1!E$2:E$59)</f>
        <v>1.3164623975753784</v>
      </c>
      <c r="F38" s="116">
        <f>_xlfn.XLOOKUP($A38,[11]Sheet1!$B$2:$B$59,[11]Sheet1!F$2:F$59)</f>
        <v>1.6831988096237183</v>
      </c>
      <c r="G38" s="116">
        <f>_xlfn.XLOOKUP($A38,[11]Sheet1!$B$2:$B$59,[11]Sheet1!G$2:G$59)</f>
        <v>0.77338457107543945</v>
      </c>
      <c r="H38" s="116">
        <f>_xlfn.XLOOKUP($A38,[11]Sheet1!$B$2:$B$59,[11]Sheet1!H$2:H$59)</f>
        <v>0.69184362888336182</v>
      </c>
      <c r="I38" s="116">
        <f>_xlfn.XLOOKUP($A38,[11]Sheet1!$B$2:$B$59,[11]Sheet1!I$2:I$59)</f>
        <v>7.9834651947021484</v>
      </c>
      <c r="J38" s="116">
        <f>_xlfn.XLOOKUP($A38,[11]Sheet1!$B$2:$B$59,[11]Sheet1!J$2:J$59)</f>
        <v>0</v>
      </c>
      <c r="K38" s="116">
        <f>_xlfn.XLOOKUP($A38,[11]Sheet1!$B$2:$B$59,[11]Sheet1!K$2:K$59)</f>
        <v>6.6000000000000005</v>
      </c>
      <c r="L38" s="116">
        <f>_xlfn.XLOOKUP($A38,[11]Sheet1!$B$2:$B$59,[11]Sheet1!L$2:L$59)</f>
        <v>1.20961594581604</v>
      </c>
      <c r="M38" s="116">
        <f>_xlfn.XLOOKUP($A38,[11]Sheet1!$B$2:$B$59,[11]Sheet1!M$2:M$59)</f>
        <v>10</v>
      </c>
      <c r="O38" s="116">
        <f>_xlfn.XLOOKUP($A38,[11]Sheet1!$B$2:$B$59,[11]Sheet1!N$2:N$59)</f>
        <v>1.55</v>
      </c>
      <c r="P38" s="116">
        <f>_xlfn.XLOOKUP($A38,[11]Sheet1!$B$2:$B$59,[11]Sheet1!O$2:O$59)</f>
        <v>3.5</v>
      </c>
      <c r="Q38" s="116">
        <f>_xlfn.XLOOKUP($A38,[11]Sheet1!$B$2:$B$59,[11]Sheet1!P$2:P$59)</f>
        <v>4</v>
      </c>
      <c r="S38" s="116">
        <f>_xlfn.XLOOKUP($A38,[11]Sheet1!$B$2:$B$59,[11]Sheet1!Q$2:Q$59)</f>
        <v>14</v>
      </c>
    </row>
    <row r="39" spans="1:19" ht="20.100000000000001" customHeight="1" x14ac:dyDescent="0.3">
      <c r="A39" s="114" t="s">
        <v>56</v>
      </c>
      <c r="C39" s="116">
        <f>_xlfn.XLOOKUP($A39,[11]Sheet1!$B$2:$B$59,[11]Sheet1!C$2:C$59)</f>
        <v>63.335968017578125</v>
      </c>
      <c r="D39" s="116">
        <f>_xlfn.XLOOKUP($A39,[11]Sheet1!$B$2:$B$59,[11]Sheet1!D$2:D$59)</f>
        <v>368.19711303710938</v>
      </c>
      <c r="E39" s="116">
        <f>_xlfn.XLOOKUP($A39,[11]Sheet1!$B$2:$B$59,[11]Sheet1!E$2:E$59)</f>
        <v>223.24296569824219</v>
      </c>
      <c r="F39" s="116">
        <f>_xlfn.XLOOKUP($A39,[11]Sheet1!$B$2:$B$59,[11]Sheet1!F$2:F$59)</f>
        <v>200.31802368164063</v>
      </c>
      <c r="G39" s="116">
        <f>_xlfn.XLOOKUP($A39,[11]Sheet1!$B$2:$B$59,[11]Sheet1!G$2:G$59)</f>
        <v>69.119255065917969</v>
      </c>
      <c r="H39" s="116">
        <f>_xlfn.XLOOKUP($A39,[11]Sheet1!$B$2:$B$59,[11]Sheet1!H$2:H$59)</f>
        <v>68.912666320800781</v>
      </c>
      <c r="I39" s="116">
        <f>_xlfn.XLOOKUP($A39,[11]Sheet1!$B$2:$B$59,[11]Sheet1!I$2:I$59)</f>
        <v>993.1259765625</v>
      </c>
      <c r="J39" s="116">
        <f>_xlfn.XLOOKUP($A39,[11]Sheet1!$B$2:$B$59,[11]Sheet1!J$2:J$59)</f>
        <v>34.439999999999991</v>
      </c>
      <c r="K39" s="116">
        <f>_xlfn.XLOOKUP($A39,[11]Sheet1!$B$2:$B$59,[11]Sheet1!K$2:K$59)</f>
        <v>9.6000000000000014</v>
      </c>
      <c r="L39" s="116">
        <f>_xlfn.XLOOKUP($A39,[11]Sheet1!$B$2:$B$59,[11]Sheet1!L$2:L$59)</f>
        <v>107.03812408447266</v>
      </c>
      <c r="M39" s="116">
        <f>_xlfn.XLOOKUP($A39,[11]Sheet1!$B$2:$B$59,[11]Sheet1!M$2:M$59)</f>
        <v>1101</v>
      </c>
      <c r="O39" s="116">
        <f>_xlfn.XLOOKUP($A39,[11]Sheet1!$B$2:$B$59,[11]Sheet1!N$2:N$59)</f>
        <v>116.44</v>
      </c>
      <c r="P39" s="116">
        <f>_xlfn.XLOOKUP($A39,[11]Sheet1!$B$2:$B$59,[11]Sheet1!O$2:O$59)</f>
        <v>6.3000000000000007</v>
      </c>
      <c r="Q39" s="116">
        <f>_xlfn.XLOOKUP($A39,[11]Sheet1!$B$2:$B$59,[11]Sheet1!P$2:P$59)</f>
        <v>194</v>
      </c>
      <c r="S39" s="116">
        <f>_xlfn.XLOOKUP($A39,[11]Sheet1!$B$2:$B$59,[11]Sheet1!Q$2:Q$59)</f>
        <v>1295</v>
      </c>
    </row>
    <row r="40" spans="1:19" ht="20.100000000000001" customHeight="1" x14ac:dyDescent="0.3">
      <c r="A40" s="114" t="s">
        <v>57</v>
      </c>
      <c r="C40" s="116">
        <f>_xlfn.XLOOKUP($A40,[11]Sheet1!$B$2:$B$59,[11]Sheet1!C$2:C$59)</f>
        <v>41.351341247558594</v>
      </c>
      <c r="D40" s="116">
        <f>_xlfn.XLOOKUP($A40,[11]Sheet1!$B$2:$B$59,[11]Sheet1!D$2:D$59)</f>
        <v>244.74555969238281</v>
      </c>
      <c r="E40" s="116">
        <f>_xlfn.XLOOKUP($A40,[11]Sheet1!$B$2:$B$59,[11]Sheet1!E$2:E$59)</f>
        <v>169.02998352050781</v>
      </c>
      <c r="F40" s="116">
        <f>_xlfn.XLOOKUP($A40,[11]Sheet1!$B$2:$B$59,[11]Sheet1!F$2:F$59)</f>
        <v>123.19439697265625</v>
      </c>
      <c r="G40" s="116">
        <f>_xlfn.XLOOKUP($A40,[11]Sheet1!$B$2:$B$59,[11]Sheet1!G$2:G$59)</f>
        <v>56.547992706298828</v>
      </c>
      <c r="H40" s="116">
        <f>_xlfn.XLOOKUP($A40,[11]Sheet1!$B$2:$B$59,[11]Sheet1!H$2:H$59)</f>
        <v>24.933010101318359</v>
      </c>
      <c r="I40" s="116">
        <f>_xlfn.XLOOKUP($A40,[11]Sheet1!$B$2:$B$59,[11]Sheet1!I$2:I$59)</f>
        <v>659.80230712890625</v>
      </c>
      <c r="J40" s="116">
        <f>_xlfn.XLOOKUP($A40,[11]Sheet1!$B$2:$B$59,[11]Sheet1!J$2:J$59)</f>
        <v>21.78</v>
      </c>
      <c r="K40" s="116">
        <f>_xlfn.XLOOKUP($A40,[11]Sheet1!$B$2:$B$59,[11]Sheet1!K$2:K$59)</f>
        <v>9.6000000000000014</v>
      </c>
      <c r="L40" s="116">
        <f>_xlfn.XLOOKUP($A40,[11]Sheet1!$B$2:$B$59,[11]Sheet1!L$2:L$59)</f>
        <v>70.998153686523438</v>
      </c>
      <c r="M40" s="116">
        <f>_xlfn.XLOOKUP($A40,[11]Sheet1!$B$2:$B$59,[11]Sheet1!M$2:M$59)</f>
        <v>731</v>
      </c>
      <c r="O40" s="116">
        <f>_xlfn.XLOOKUP($A40,[11]Sheet1!$B$2:$B$59,[11]Sheet1!N$2:N$59)</f>
        <v>55.500000000000007</v>
      </c>
      <c r="P40" s="116">
        <f>_xlfn.XLOOKUP($A40,[11]Sheet1!$B$2:$B$59,[11]Sheet1!O$2:O$59)</f>
        <v>6.3000000000000007</v>
      </c>
      <c r="Q40" s="116">
        <f>_xlfn.XLOOKUP($A40,[11]Sheet1!$B$2:$B$59,[11]Sheet1!P$2:P$59)</f>
        <v>125</v>
      </c>
      <c r="S40" s="116">
        <f>_xlfn.XLOOKUP($A40,[11]Sheet1!$B$2:$B$59,[11]Sheet1!Q$2:Q$59)</f>
        <v>856</v>
      </c>
    </row>
    <row r="41" spans="1:19" ht="20.100000000000001" customHeight="1" x14ac:dyDescent="0.3">
      <c r="A41" s="114" t="s">
        <v>16</v>
      </c>
      <c r="C41" s="116">
        <f>_xlfn.XLOOKUP($A41,[11]Sheet1!$B$2:$B$59,[11]Sheet1!C$2:C$59)</f>
        <v>1.8362884521484375</v>
      </c>
      <c r="D41" s="116">
        <f>_xlfn.XLOOKUP($A41,[11]Sheet1!$B$2:$B$59,[11]Sheet1!D$2:D$59)</f>
        <v>10.152573585510254</v>
      </c>
      <c r="E41" s="116">
        <f>_xlfn.XLOOKUP($A41,[11]Sheet1!$B$2:$B$59,[11]Sheet1!E$2:E$59)</f>
        <v>4.3488707542419434</v>
      </c>
      <c r="F41" s="116">
        <f>_xlfn.XLOOKUP($A41,[11]Sheet1!$B$2:$B$59,[11]Sheet1!F$2:F$59)</f>
        <v>5.1903109550476074</v>
      </c>
      <c r="G41" s="116">
        <f>_xlfn.XLOOKUP($A41,[11]Sheet1!$B$2:$B$59,[11]Sheet1!G$2:G$59)</f>
        <v>1.6821250915527344</v>
      </c>
      <c r="H41" s="116">
        <f>_xlfn.XLOOKUP($A41,[11]Sheet1!$B$2:$B$59,[11]Sheet1!H$2:H$59)</f>
        <v>2.216184139251709</v>
      </c>
      <c r="I41" s="116">
        <f>_xlfn.XLOOKUP($A41,[11]Sheet1!$B$2:$B$59,[11]Sheet1!I$2:I$59)</f>
        <v>25.426353454589844</v>
      </c>
      <c r="J41" s="116">
        <f>_xlfn.XLOOKUP($A41,[11]Sheet1!$B$2:$B$59,[11]Sheet1!J$2:J$59)</f>
        <v>0</v>
      </c>
      <c r="K41" s="116">
        <f>_xlfn.XLOOKUP($A41,[11]Sheet1!$B$2:$B$59,[11]Sheet1!K$2:K$59)</f>
        <v>6.6000000000000005</v>
      </c>
      <c r="L41" s="116">
        <f>_xlfn.XLOOKUP($A41,[11]Sheet1!$B$2:$B$59,[11]Sheet1!L$2:L$59)</f>
        <v>3.8524777889251709</v>
      </c>
      <c r="M41" s="116">
        <f>_xlfn.XLOOKUP($A41,[11]Sheet1!$B$2:$B$59,[11]Sheet1!M$2:M$59)</f>
        <v>30</v>
      </c>
      <c r="O41" s="116">
        <f>_xlfn.XLOOKUP($A41,[11]Sheet1!$B$2:$B$59,[11]Sheet1!N$2:N$59)</f>
        <v>4.25</v>
      </c>
      <c r="P41" s="116">
        <f>_xlfn.XLOOKUP($A41,[11]Sheet1!$B$2:$B$59,[11]Sheet1!O$2:O$59)</f>
        <v>3.5</v>
      </c>
      <c r="Q41" s="116">
        <f>_xlfn.XLOOKUP($A41,[11]Sheet1!$B$2:$B$59,[11]Sheet1!P$2:P$59)</f>
        <v>10</v>
      </c>
      <c r="S41" s="116">
        <f>_xlfn.XLOOKUP($A41,[11]Sheet1!$B$2:$B$59,[11]Sheet1!Q$2:Q$59)</f>
        <v>40</v>
      </c>
    </row>
    <row r="42" spans="1:19" ht="20.100000000000001" customHeight="1" x14ac:dyDescent="0.3">
      <c r="A42" s="114" t="s">
        <v>58</v>
      </c>
      <c r="C42" s="116">
        <f>_xlfn.XLOOKUP($A42,[11]Sheet1!$B$2:$B$59,[11]Sheet1!C$2:C$59)</f>
        <v>53.299892425537109</v>
      </c>
      <c r="D42" s="116">
        <f>_xlfn.XLOOKUP($A42,[11]Sheet1!$B$2:$B$59,[11]Sheet1!D$2:D$59)</f>
        <v>406.35659790039063</v>
      </c>
      <c r="E42" s="116">
        <f>_xlfn.XLOOKUP($A42,[11]Sheet1!$B$2:$B$59,[11]Sheet1!E$2:E$59)</f>
        <v>221.55450439453125</v>
      </c>
      <c r="F42" s="116">
        <f>_xlfn.XLOOKUP($A42,[11]Sheet1!$B$2:$B$59,[11]Sheet1!F$2:F$59)</f>
        <v>197.68611145019531</v>
      </c>
      <c r="G42" s="116">
        <f>_xlfn.XLOOKUP($A42,[11]Sheet1!$B$2:$B$59,[11]Sheet1!G$2:G$59)</f>
        <v>71.990791320800781</v>
      </c>
      <c r="H42" s="116">
        <f>_xlfn.XLOOKUP($A42,[11]Sheet1!$B$2:$B$59,[11]Sheet1!H$2:H$59)</f>
        <v>67.874565124511719</v>
      </c>
      <c r="I42" s="116">
        <f>_xlfn.XLOOKUP($A42,[11]Sheet1!$B$2:$B$59,[11]Sheet1!I$2:I$59)</f>
        <v>1018.762451171875</v>
      </c>
      <c r="J42" s="116">
        <f>_xlfn.XLOOKUP($A42,[11]Sheet1!$B$2:$B$59,[11]Sheet1!J$2:J$59)</f>
        <v>42</v>
      </c>
      <c r="K42" s="116">
        <f>_xlfn.XLOOKUP($A42,[11]Sheet1!$B$2:$B$59,[11]Sheet1!K$2:K$59)</f>
        <v>9.6000000000000014</v>
      </c>
      <c r="L42" s="116">
        <f>_xlfn.XLOOKUP($A42,[11]Sheet1!$B$2:$B$59,[11]Sheet1!L$2:L$59)</f>
        <v>110.49608612060547</v>
      </c>
      <c r="M42" s="116">
        <f>_xlfn.XLOOKUP($A42,[11]Sheet1!$B$2:$B$59,[11]Sheet1!M$2:M$59)</f>
        <v>1130</v>
      </c>
      <c r="O42" s="116">
        <f>_xlfn.XLOOKUP($A42,[11]Sheet1!$B$2:$B$59,[11]Sheet1!N$2:N$59)</f>
        <v>104.38</v>
      </c>
      <c r="P42" s="116">
        <f>_xlfn.XLOOKUP($A42,[11]Sheet1!$B$2:$B$59,[11]Sheet1!O$2:O$59)</f>
        <v>6.3000000000000007</v>
      </c>
      <c r="Q42" s="116">
        <f>_xlfn.XLOOKUP($A42,[11]Sheet1!$B$2:$B$59,[11]Sheet1!P$2:P$59)</f>
        <v>196</v>
      </c>
      <c r="S42" s="116">
        <f>_xlfn.XLOOKUP($A42,[11]Sheet1!$B$2:$B$59,[11]Sheet1!Q$2:Q$59)</f>
        <v>1326</v>
      </c>
    </row>
    <row r="43" spans="1:19" ht="20.100000000000001" customHeight="1" x14ac:dyDescent="0.3">
      <c r="A43" s="114" t="s">
        <v>59</v>
      </c>
      <c r="C43" s="116">
        <f>_xlfn.XLOOKUP($A43,[11]Sheet1!$B$2:$B$59,[11]Sheet1!C$2:C$59)</f>
        <v>61.664188385009766</v>
      </c>
      <c r="D43" s="116">
        <f>_xlfn.XLOOKUP($A43,[11]Sheet1!$B$2:$B$59,[11]Sheet1!D$2:D$59)</f>
        <v>323.35995483398438</v>
      </c>
      <c r="E43" s="116">
        <f>_xlfn.XLOOKUP($A43,[11]Sheet1!$B$2:$B$59,[11]Sheet1!E$2:E$59)</f>
        <v>285.24032592773438</v>
      </c>
      <c r="F43" s="116">
        <f>_xlfn.XLOOKUP($A43,[11]Sheet1!$B$2:$B$59,[11]Sheet1!F$2:F$59)</f>
        <v>239.19305419921875</v>
      </c>
      <c r="G43" s="116">
        <f>_xlfn.XLOOKUP($A43,[11]Sheet1!$B$2:$B$59,[11]Sheet1!G$2:G$59)</f>
        <v>65.134140014648438</v>
      </c>
      <c r="H43" s="116">
        <f>_xlfn.XLOOKUP($A43,[11]Sheet1!$B$2:$B$59,[11]Sheet1!H$2:H$59)</f>
        <v>29.150074005126953</v>
      </c>
      <c r="I43" s="116">
        <f>_xlfn.XLOOKUP($A43,[11]Sheet1!$B$2:$B$59,[11]Sheet1!I$2:I$59)</f>
        <v>1003.7417602539063</v>
      </c>
      <c r="J43" s="116">
        <f>_xlfn.XLOOKUP($A43,[11]Sheet1!$B$2:$B$59,[11]Sheet1!J$2:J$59)</f>
        <v>27.1</v>
      </c>
      <c r="K43" s="116">
        <f>_xlfn.XLOOKUP($A43,[11]Sheet1!$B$2:$B$59,[11]Sheet1!K$2:K$59)</f>
        <v>9.6000000000000014</v>
      </c>
      <c r="L43" s="116">
        <f>_xlfn.XLOOKUP($A43,[11]Sheet1!$B$2:$B$59,[11]Sheet1!L$2:L$59)</f>
        <v>107.37934875488281</v>
      </c>
      <c r="M43" s="116">
        <f>_xlfn.XLOOKUP($A43,[11]Sheet1!$B$2:$B$59,[11]Sheet1!M$2:M$59)</f>
        <v>1112</v>
      </c>
      <c r="O43" s="116">
        <f>_xlfn.XLOOKUP($A43,[11]Sheet1!$B$2:$B$59,[11]Sheet1!N$2:N$59)</f>
        <v>73.772999999999982</v>
      </c>
      <c r="P43" s="116">
        <f>_xlfn.XLOOKUP($A43,[11]Sheet1!$B$2:$B$59,[11]Sheet1!O$2:O$59)</f>
        <v>6.3000000000000007</v>
      </c>
      <c r="Q43" s="116">
        <f>_xlfn.XLOOKUP($A43,[11]Sheet1!$B$2:$B$59,[11]Sheet1!P$2:P$59)</f>
        <v>189</v>
      </c>
      <c r="S43" s="116">
        <f>_xlfn.XLOOKUP($A43,[11]Sheet1!$B$2:$B$59,[11]Sheet1!Q$2:Q$59)</f>
        <v>1301</v>
      </c>
    </row>
    <row r="44" spans="1:19" ht="20.100000000000001" customHeight="1" x14ac:dyDescent="0.3">
      <c r="A44" s="114" t="s">
        <v>60</v>
      </c>
      <c r="C44" s="116">
        <f>_xlfn.XLOOKUP($A44,[11]Sheet1!$B$2:$B$59,[11]Sheet1!C$2:C$59)</f>
        <v>13.451416969299316</v>
      </c>
      <c r="D44" s="116">
        <f>_xlfn.XLOOKUP($A44,[11]Sheet1!$B$2:$B$59,[11]Sheet1!D$2:D$59)</f>
        <v>78.099128723144531</v>
      </c>
      <c r="E44" s="116">
        <f>_xlfn.XLOOKUP($A44,[11]Sheet1!$B$2:$B$59,[11]Sheet1!E$2:E$59)</f>
        <v>86.220939636230469</v>
      </c>
      <c r="F44" s="116">
        <f>_xlfn.XLOOKUP($A44,[11]Sheet1!$B$2:$B$59,[11]Sheet1!F$2:F$59)</f>
        <v>38.783580780029297</v>
      </c>
      <c r="G44" s="116">
        <f>_xlfn.XLOOKUP($A44,[11]Sheet1!$B$2:$B$59,[11]Sheet1!G$2:G$59)</f>
        <v>21.001514434814453</v>
      </c>
      <c r="H44" s="116">
        <f>_xlfn.XLOOKUP($A44,[11]Sheet1!$B$2:$B$59,[11]Sheet1!H$2:H$59)</f>
        <v>13.176934242248535</v>
      </c>
      <c r="I44" s="116">
        <f>_xlfn.XLOOKUP($A44,[11]Sheet1!$B$2:$B$59,[11]Sheet1!I$2:I$59)</f>
        <v>250.7335205078125</v>
      </c>
      <c r="J44" s="116">
        <f>_xlfn.XLOOKUP($A44,[11]Sheet1!$B$2:$B$59,[11]Sheet1!J$2:J$59)</f>
        <v>0</v>
      </c>
      <c r="K44" s="116">
        <f>_xlfn.XLOOKUP($A44,[11]Sheet1!$B$2:$B$59,[11]Sheet1!K$2:K$59)</f>
        <v>8.4</v>
      </c>
      <c r="L44" s="116">
        <f>_xlfn.XLOOKUP($A44,[11]Sheet1!$B$2:$B$59,[11]Sheet1!L$2:L$59)</f>
        <v>29.849227905273438</v>
      </c>
      <c r="M44" s="116">
        <f>_xlfn.XLOOKUP($A44,[11]Sheet1!$B$2:$B$59,[11]Sheet1!M$2:M$59)</f>
        <v>281</v>
      </c>
      <c r="O44" s="116">
        <f>_xlfn.XLOOKUP($A44,[11]Sheet1!$B$2:$B$59,[11]Sheet1!N$2:N$59)</f>
        <v>35</v>
      </c>
      <c r="P44" s="116">
        <f>_xlfn.XLOOKUP($A44,[11]Sheet1!$B$2:$B$59,[11]Sheet1!O$2:O$59)</f>
        <v>6.3000000000000007</v>
      </c>
      <c r="Q44" s="116">
        <f>_xlfn.XLOOKUP($A44,[11]Sheet1!$B$2:$B$59,[11]Sheet1!P$2:P$59)</f>
        <v>51</v>
      </c>
      <c r="S44" s="116">
        <f>_xlfn.XLOOKUP($A44,[11]Sheet1!$B$2:$B$59,[11]Sheet1!Q$2:Q$59)</f>
        <v>332</v>
      </c>
    </row>
    <row r="45" spans="1:19" ht="20.100000000000001" customHeight="1" x14ac:dyDescent="0.3">
      <c r="A45" s="114" t="s">
        <v>45</v>
      </c>
      <c r="C45" s="116">
        <f>_xlfn.XLOOKUP($A45,[11]Sheet1!$B$2:$B$59,[11]Sheet1!C$2:C$59)</f>
        <v>18.101852416992188</v>
      </c>
      <c r="D45" s="116">
        <f>_xlfn.XLOOKUP($A45,[11]Sheet1!$B$2:$B$59,[11]Sheet1!D$2:D$59)</f>
        <v>140.47880554199219</v>
      </c>
      <c r="E45" s="116">
        <f>_xlfn.XLOOKUP($A45,[11]Sheet1!$B$2:$B$59,[11]Sheet1!E$2:E$59)</f>
        <v>64.842247009277344</v>
      </c>
      <c r="F45" s="116">
        <f>_xlfn.XLOOKUP($A45,[11]Sheet1!$B$2:$B$59,[11]Sheet1!F$2:F$59)</f>
        <v>58.239810943603516</v>
      </c>
      <c r="G45" s="116">
        <f>_xlfn.XLOOKUP($A45,[11]Sheet1!$B$2:$B$59,[11]Sheet1!G$2:G$59)</f>
        <v>24.322505950927734</v>
      </c>
      <c r="H45" s="116">
        <f>_xlfn.XLOOKUP($A45,[11]Sheet1!$B$2:$B$59,[11]Sheet1!H$2:H$59)</f>
        <v>21.700889587402344</v>
      </c>
      <c r="I45" s="116">
        <f>_xlfn.XLOOKUP($A45,[11]Sheet1!$B$2:$B$59,[11]Sheet1!I$2:I$59)</f>
        <v>327.68609619140625</v>
      </c>
      <c r="J45" s="116">
        <f>_xlfn.XLOOKUP($A45,[11]Sheet1!$B$2:$B$59,[11]Sheet1!J$2:J$59)</f>
        <v>4</v>
      </c>
      <c r="K45" s="116">
        <f>_xlfn.XLOOKUP($A45,[11]Sheet1!$B$2:$B$59,[11]Sheet1!K$2:K$59)</f>
        <v>8.4</v>
      </c>
      <c r="L45" s="116">
        <f>_xlfn.XLOOKUP($A45,[11]Sheet1!$B$2:$B$59,[11]Sheet1!L$2:L$59)</f>
        <v>39.486438751220703</v>
      </c>
      <c r="M45" s="116">
        <f>_xlfn.XLOOKUP($A45,[11]Sheet1!$B$2:$B$59,[11]Sheet1!M$2:M$59)</f>
        <v>368</v>
      </c>
      <c r="O45" s="116">
        <f>_xlfn.XLOOKUP($A45,[11]Sheet1!$B$2:$B$59,[11]Sheet1!N$2:N$59)</f>
        <v>9.89</v>
      </c>
      <c r="P45" s="116">
        <f>_xlfn.XLOOKUP($A45,[11]Sheet1!$B$2:$B$59,[11]Sheet1!O$2:O$59)</f>
        <v>6.3000000000000007</v>
      </c>
      <c r="Q45" s="116">
        <f>_xlfn.XLOOKUP($A45,[11]Sheet1!$B$2:$B$59,[11]Sheet1!P$2:P$59)</f>
        <v>60</v>
      </c>
      <c r="S45" s="116">
        <f>_xlfn.XLOOKUP($A45,[11]Sheet1!$B$2:$B$59,[11]Sheet1!Q$2:Q$59)</f>
        <v>428</v>
      </c>
    </row>
    <row r="46" spans="1:19" ht="20.100000000000001" customHeight="1" x14ac:dyDescent="0.3">
      <c r="A46" s="114" t="s">
        <v>32</v>
      </c>
      <c r="C46" s="116">
        <f>_xlfn.XLOOKUP($A46,[11]Sheet1!$B$2:$B$59,[11]Sheet1!C$2:C$59)</f>
        <v>12.114407539367676</v>
      </c>
      <c r="D46" s="116">
        <f>_xlfn.XLOOKUP($A46,[11]Sheet1!$B$2:$B$59,[11]Sheet1!D$2:D$59)</f>
        <v>56.743057250976563</v>
      </c>
      <c r="E46" s="116">
        <f>_xlfn.XLOOKUP($A46,[11]Sheet1!$B$2:$B$59,[11]Sheet1!E$2:E$59)</f>
        <v>15.564111709594727</v>
      </c>
      <c r="F46" s="116">
        <f>_xlfn.XLOOKUP($A46,[11]Sheet1!$B$2:$B$59,[11]Sheet1!F$2:F$59)</f>
        <v>15.554181098937988</v>
      </c>
      <c r="G46" s="116">
        <f>_xlfn.XLOOKUP($A46,[11]Sheet1!$B$2:$B$59,[11]Sheet1!G$2:G$59)</f>
        <v>8.098027229309082</v>
      </c>
      <c r="H46" s="116">
        <f>_xlfn.XLOOKUP($A46,[11]Sheet1!$B$2:$B$59,[11]Sheet1!H$2:H$59)</f>
        <v>4.8456077575683594</v>
      </c>
      <c r="I46" s="116">
        <f>_xlfn.XLOOKUP($A46,[11]Sheet1!$B$2:$B$59,[11]Sheet1!I$2:I$59)</f>
        <v>112.91939544677734</v>
      </c>
      <c r="J46" s="116">
        <f>_xlfn.XLOOKUP($A46,[11]Sheet1!$B$2:$B$59,[11]Sheet1!J$2:J$59)</f>
        <v>2</v>
      </c>
      <c r="K46" s="116">
        <f>_xlfn.XLOOKUP($A46,[11]Sheet1!$B$2:$B$59,[11]Sheet1!K$2:K$59)</f>
        <v>7.8000000000000007</v>
      </c>
      <c r="L46" s="116">
        <f>_xlfn.XLOOKUP($A46,[11]Sheet1!$B$2:$B$59,[11]Sheet1!L$2:L$59)</f>
        <v>14.733255386352539</v>
      </c>
      <c r="M46" s="116">
        <f>_xlfn.XLOOKUP($A46,[11]Sheet1!$B$2:$B$59,[11]Sheet1!M$2:M$59)</f>
        <v>128</v>
      </c>
      <c r="O46" s="116">
        <f>_xlfn.XLOOKUP($A46,[11]Sheet1!$B$2:$B$59,[11]Sheet1!N$2:N$59)</f>
        <v>5</v>
      </c>
      <c r="P46" s="116">
        <f>_xlfn.XLOOKUP($A46,[11]Sheet1!$B$2:$B$59,[11]Sheet1!O$2:O$59)</f>
        <v>5.1000000000000005</v>
      </c>
      <c r="Q46" s="116">
        <f>_xlfn.XLOOKUP($A46,[11]Sheet1!$B$2:$B$59,[11]Sheet1!P$2:P$59)</f>
        <v>27</v>
      </c>
      <c r="S46" s="116">
        <f>_xlfn.XLOOKUP($A46,[11]Sheet1!$B$2:$B$59,[11]Sheet1!Q$2:Q$59)</f>
        <v>155</v>
      </c>
    </row>
    <row r="47" spans="1:19" ht="20.100000000000001" customHeight="1" x14ac:dyDescent="0.3">
      <c r="A47" s="114" t="s">
        <v>46</v>
      </c>
      <c r="C47" s="116">
        <f>_xlfn.XLOOKUP($A47,[11]Sheet1!$B$2:$B$59,[11]Sheet1!C$2:C$59)</f>
        <v>24.876926422119141</v>
      </c>
      <c r="D47" s="116">
        <f>_xlfn.XLOOKUP($A47,[11]Sheet1!$B$2:$B$59,[11]Sheet1!D$2:D$59)</f>
        <v>90.787872314453125</v>
      </c>
      <c r="E47" s="116">
        <f>_xlfn.XLOOKUP($A47,[11]Sheet1!$B$2:$B$59,[11]Sheet1!E$2:E$59)</f>
        <v>44.522991180419922</v>
      </c>
      <c r="F47" s="116">
        <f>_xlfn.XLOOKUP($A47,[11]Sheet1!$B$2:$B$59,[11]Sheet1!F$2:F$59)</f>
        <v>33.348430633544922</v>
      </c>
      <c r="G47" s="116">
        <f>_xlfn.XLOOKUP($A47,[11]Sheet1!$B$2:$B$59,[11]Sheet1!G$2:G$59)</f>
        <v>21.557395935058594</v>
      </c>
      <c r="H47" s="116">
        <f>_xlfn.XLOOKUP($A47,[11]Sheet1!$B$2:$B$59,[11]Sheet1!H$2:H$59)</f>
        <v>7.368858814239502</v>
      </c>
      <c r="I47" s="116">
        <f>_xlfn.XLOOKUP($A47,[11]Sheet1!$B$2:$B$59,[11]Sheet1!I$2:I$59)</f>
        <v>222.46247863769531</v>
      </c>
      <c r="J47" s="116">
        <f>_xlfn.XLOOKUP($A47,[11]Sheet1!$B$2:$B$59,[11]Sheet1!J$2:J$59)</f>
        <v>9</v>
      </c>
      <c r="K47" s="116">
        <f>_xlfn.XLOOKUP($A47,[11]Sheet1!$B$2:$B$59,[11]Sheet1!K$2:K$59)</f>
        <v>8.4</v>
      </c>
      <c r="L47" s="116">
        <f>_xlfn.XLOOKUP($A47,[11]Sheet1!$B$2:$B$59,[11]Sheet1!L$2:L$59)</f>
        <v>27.555057525634766</v>
      </c>
      <c r="M47" s="116">
        <f>_xlfn.XLOOKUP($A47,[11]Sheet1!$B$2:$B$59,[11]Sheet1!M$2:M$59)</f>
        <v>251</v>
      </c>
      <c r="O47" s="116">
        <f>_xlfn.XLOOKUP($A47,[11]Sheet1!$B$2:$B$59,[11]Sheet1!N$2:N$59)</f>
        <v>16</v>
      </c>
      <c r="P47" s="116">
        <f>_xlfn.XLOOKUP($A47,[11]Sheet1!$B$2:$B$59,[11]Sheet1!O$2:O$59)</f>
        <v>6.3000000000000007</v>
      </c>
      <c r="Q47" s="116">
        <f>_xlfn.XLOOKUP($A47,[11]Sheet1!$B$2:$B$59,[11]Sheet1!P$2:P$59)</f>
        <v>43</v>
      </c>
      <c r="S47" s="116">
        <f>_xlfn.XLOOKUP($A47,[11]Sheet1!$B$2:$B$59,[11]Sheet1!Q$2:Q$59)</f>
        <v>294</v>
      </c>
    </row>
    <row r="48" spans="1:19" ht="20.100000000000001" customHeight="1" x14ac:dyDescent="0.3">
      <c r="A48" s="114" t="s">
        <v>47</v>
      </c>
      <c r="C48" s="116">
        <f>_xlfn.XLOOKUP($A48,[11]Sheet1!$B$2:$B$59,[11]Sheet1!C$2:C$59)</f>
        <v>13.298545837402344</v>
      </c>
      <c r="D48" s="116">
        <f>_xlfn.XLOOKUP($A48,[11]Sheet1!$B$2:$B$59,[11]Sheet1!D$2:D$59)</f>
        <v>73.844558715820313</v>
      </c>
      <c r="E48" s="116">
        <f>_xlfn.XLOOKUP($A48,[11]Sheet1!$B$2:$B$59,[11]Sheet1!E$2:E$59)</f>
        <v>28.520225524902344</v>
      </c>
      <c r="F48" s="116">
        <f>_xlfn.XLOOKUP($A48,[11]Sheet1!$B$2:$B$59,[11]Sheet1!F$2:F$59)</f>
        <v>24.967090606689453</v>
      </c>
      <c r="G48" s="116">
        <f>_xlfn.XLOOKUP($A48,[11]Sheet1!$B$2:$B$59,[11]Sheet1!G$2:G$59)</f>
        <v>11.208468437194824</v>
      </c>
      <c r="H48" s="116">
        <f>_xlfn.XLOOKUP($A48,[11]Sheet1!$B$2:$B$59,[11]Sheet1!H$2:H$59)</f>
        <v>11.48043155670166</v>
      </c>
      <c r="I48" s="116">
        <f>_xlfn.XLOOKUP($A48,[11]Sheet1!$B$2:$B$59,[11]Sheet1!I$2:I$59)</f>
        <v>163.31932067871094</v>
      </c>
      <c r="J48" s="116">
        <f>_xlfn.XLOOKUP($A48,[11]Sheet1!$B$2:$B$59,[11]Sheet1!J$2:J$59)</f>
        <v>10</v>
      </c>
      <c r="K48" s="116">
        <f>_xlfn.XLOOKUP($A48,[11]Sheet1!$B$2:$B$59,[11]Sheet1!K$2:K$59)</f>
        <v>8.4</v>
      </c>
      <c r="L48" s="116">
        <f>_xlfn.XLOOKUP($A48,[11]Sheet1!$B$2:$B$59,[11]Sheet1!L$2:L$59)</f>
        <v>20.63325309753418</v>
      </c>
      <c r="M48" s="116">
        <f>_xlfn.XLOOKUP($A48,[11]Sheet1!$B$2:$B$59,[11]Sheet1!M$2:M$59)</f>
        <v>184</v>
      </c>
      <c r="O48" s="116">
        <f>_xlfn.XLOOKUP($A48,[11]Sheet1!$B$2:$B$59,[11]Sheet1!N$2:N$59)</f>
        <v>16.875</v>
      </c>
      <c r="P48" s="116">
        <f>_xlfn.XLOOKUP($A48,[11]Sheet1!$B$2:$B$59,[11]Sheet1!O$2:O$59)</f>
        <v>6.3000000000000007</v>
      </c>
      <c r="Q48" s="116">
        <f>_xlfn.XLOOKUP($A48,[11]Sheet1!$B$2:$B$59,[11]Sheet1!P$2:P$59)</f>
        <v>32</v>
      </c>
      <c r="S48" s="116">
        <f>_xlfn.XLOOKUP($A48,[11]Sheet1!$B$2:$B$59,[11]Sheet1!Q$2:Q$59)</f>
        <v>216</v>
      </c>
    </row>
    <row r="49" spans="1:19" ht="20.100000000000001" customHeight="1" x14ac:dyDescent="0.3">
      <c r="A49" s="114" t="s">
        <v>61</v>
      </c>
      <c r="C49" s="116">
        <f>_xlfn.XLOOKUP($A49,[11]Sheet1!$B$2:$B$59,[11]Sheet1!C$2:C$59)</f>
        <v>32.451629638671875</v>
      </c>
      <c r="D49" s="116">
        <f>_xlfn.XLOOKUP($A49,[11]Sheet1!$B$2:$B$59,[11]Sheet1!D$2:D$59)</f>
        <v>203.90313720703125</v>
      </c>
      <c r="E49" s="116">
        <f>_xlfn.XLOOKUP($A49,[11]Sheet1!$B$2:$B$59,[11]Sheet1!E$2:E$59)</f>
        <v>122.93948364257813</v>
      </c>
      <c r="F49" s="116">
        <f>_xlfn.XLOOKUP($A49,[11]Sheet1!$B$2:$B$59,[11]Sheet1!F$2:F$59)</f>
        <v>85.11627197265625</v>
      </c>
      <c r="G49" s="116">
        <f>_xlfn.XLOOKUP($A49,[11]Sheet1!$B$2:$B$59,[11]Sheet1!G$2:G$59)</f>
        <v>39.615512847900391</v>
      </c>
      <c r="H49" s="116">
        <f>_xlfn.XLOOKUP($A49,[11]Sheet1!$B$2:$B$59,[11]Sheet1!H$2:H$59)</f>
        <v>17.627975463867188</v>
      </c>
      <c r="I49" s="116">
        <f>_xlfn.XLOOKUP($A49,[11]Sheet1!$B$2:$B$59,[11]Sheet1!I$2:I$59)</f>
        <v>501.65402221679688</v>
      </c>
      <c r="J49" s="116">
        <f>_xlfn.XLOOKUP($A49,[11]Sheet1!$B$2:$B$59,[11]Sheet1!J$2:J$59)</f>
        <v>17.5</v>
      </c>
      <c r="K49" s="116">
        <f>_xlfn.XLOOKUP($A49,[11]Sheet1!$B$2:$B$59,[11]Sheet1!K$2:K$59)</f>
        <v>9.6000000000000014</v>
      </c>
      <c r="L49" s="116">
        <f>_xlfn.XLOOKUP($A49,[11]Sheet1!$B$2:$B$59,[11]Sheet1!L$2:L$59)</f>
        <v>54.078544616699219</v>
      </c>
      <c r="M49" s="116">
        <f>_xlfn.XLOOKUP($A49,[11]Sheet1!$B$2:$B$59,[11]Sheet1!M$2:M$59)</f>
        <v>556</v>
      </c>
      <c r="O49" s="116">
        <f>_xlfn.XLOOKUP($A49,[11]Sheet1!$B$2:$B$59,[11]Sheet1!N$2:N$59)</f>
        <v>29.95</v>
      </c>
      <c r="P49" s="116">
        <f>_xlfn.XLOOKUP($A49,[11]Sheet1!$B$2:$B$59,[11]Sheet1!O$2:O$59)</f>
        <v>6.3000000000000007</v>
      </c>
      <c r="Q49" s="116">
        <f>_xlfn.XLOOKUP($A49,[11]Sheet1!$B$2:$B$59,[11]Sheet1!P$2:P$59)</f>
        <v>94</v>
      </c>
      <c r="S49" s="116">
        <f>_xlfn.XLOOKUP($A49,[11]Sheet1!$B$2:$B$59,[11]Sheet1!Q$2:Q$59)</f>
        <v>650</v>
      </c>
    </row>
    <row r="50" spans="1:19" ht="20.100000000000001" customHeight="1" x14ac:dyDescent="0.3">
      <c r="A50" s="114" t="s">
        <v>33</v>
      </c>
      <c r="C50" s="116">
        <f>_xlfn.XLOOKUP($A50,[11]Sheet1!$B$2:$B$59,[11]Sheet1!C$2:C$59)</f>
        <v>7.7548918724060059</v>
      </c>
      <c r="D50" s="116">
        <f>_xlfn.XLOOKUP($A50,[11]Sheet1!$B$2:$B$59,[11]Sheet1!D$2:D$59)</f>
        <v>44.201412200927734</v>
      </c>
      <c r="E50" s="116">
        <f>_xlfn.XLOOKUP($A50,[11]Sheet1!$B$2:$B$59,[11]Sheet1!E$2:E$59)</f>
        <v>15.775079727172852</v>
      </c>
      <c r="F50" s="116">
        <f>_xlfn.XLOOKUP($A50,[11]Sheet1!$B$2:$B$59,[11]Sheet1!F$2:F$59)</f>
        <v>14.199016571044922</v>
      </c>
      <c r="G50" s="116">
        <f>_xlfn.XLOOKUP($A50,[11]Sheet1!$B$2:$B$59,[11]Sheet1!G$2:G$59)</f>
        <v>5.7370967864990234</v>
      </c>
      <c r="H50" s="116">
        <f>_xlfn.XLOOKUP($A50,[11]Sheet1!$B$2:$B$59,[11]Sheet1!H$2:H$59)</f>
        <v>3.7534809112548828</v>
      </c>
      <c r="I50" s="116">
        <f>_xlfn.XLOOKUP($A50,[11]Sheet1!$B$2:$B$59,[11]Sheet1!I$2:I$59)</f>
        <v>91.420974731445313</v>
      </c>
      <c r="J50" s="116">
        <f>_xlfn.XLOOKUP($A50,[11]Sheet1!$B$2:$B$59,[11]Sheet1!J$2:J$59)</f>
        <v>2</v>
      </c>
      <c r="K50" s="116">
        <f>_xlfn.XLOOKUP($A50,[11]Sheet1!$B$2:$B$59,[11]Sheet1!K$2:K$59)</f>
        <v>7.8000000000000007</v>
      </c>
      <c r="L50" s="116">
        <f>_xlfn.XLOOKUP($A50,[11]Sheet1!$B$2:$B$59,[11]Sheet1!L$2:L$59)</f>
        <v>11.977047920227051</v>
      </c>
      <c r="M50" s="116">
        <f>_xlfn.XLOOKUP($A50,[11]Sheet1!$B$2:$B$59,[11]Sheet1!M$2:M$59)</f>
        <v>104</v>
      </c>
      <c r="O50" s="116">
        <f>_xlfn.XLOOKUP($A50,[11]Sheet1!$B$2:$B$59,[11]Sheet1!N$2:N$59)</f>
        <v>10</v>
      </c>
      <c r="P50" s="116">
        <f>_xlfn.XLOOKUP($A50,[11]Sheet1!$B$2:$B$59,[11]Sheet1!O$2:O$59)</f>
        <v>5.1000000000000005</v>
      </c>
      <c r="Q50" s="116">
        <f>_xlfn.XLOOKUP($A50,[11]Sheet1!$B$2:$B$59,[11]Sheet1!P$2:P$59)</f>
        <v>23</v>
      </c>
      <c r="S50" s="116">
        <f>_xlfn.XLOOKUP($A50,[11]Sheet1!$B$2:$B$59,[11]Sheet1!Q$2:Q$59)</f>
        <v>127</v>
      </c>
    </row>
    <row r="51" spans="1:19" ht="20.100000000000001" customHeight="1" x14ac:dyDescent="0.3">
      <c r="A51" s="114" t="s">
        <v>34</v>
      </c>
      <c r="C51" s="116">
        <f>_xlfn.XLOOKUP($A51,[11]Sheet1!$B$2:$B$59,[11]Sheet1!C$2:C$59)</f>
        <v>11.006093978881836</v>
      </c>
      <c r="D51" s="116">
        <f>_xlfn.XLOOKUP($A51,[11]Sheet1!$B$2:$B$59,[11]Sheet1!D$2:D$59)</f>
        <v>59.206424713134766</v>
      </c>
      <c r="E51" s="116">
        <f>_xlfn.XLOOKUP($A51,[11]Sheet1!$B$2:$B$59,[11]Sheet1!E$2:E$59)</f>
        <v>16.263172149658203</v>
      </c>
      <c r="F51" s="116">
        <f>_xlfn.XLOOKUP($A51,[11]Sheet1!$B$2:$B$59,[11]Sheet1!F$2:F$59)</f>
        <v>21.028097152709961</v>
      </c>
      <c r="G51" s="116">
        <f>_xlfn.XLOOKUP($A51,[11]Sheet1!$B$2:$B$59,[11]Sheet1!G$2:G$59)</f>
        <v>8.8850212097167969</v>
      </c>
      <c r="H51" s="116">
        <f>_xlfn.XLOOKUP($A51,[11]Sheet1!$B$2:$B$59,[11]Sheet1!H$2:H$59)</f>
        <v>6.3475761413574219</v>
      </c>
      <c r="I51" s="116">
        <f>_xlfn.XLOOKUP($A51,[11]Sheet1!$B$2:$B$59,[11]Sheet1!I$2:I$59)</f>
        <v>122.73638916015625</v>
      </c>
      <c r="J51" s="116">
        <f>_xlfn.XLOOKUP($A51,[11]Sheet1!$B$2:$B$59,[11]Sheet1!J$2:J$59)</f>
        <v>1</v>
      </c>
      <c r="K51" s="116">
        <f>_xlfn.XLOOKUP($A51,[11]Sheet1!$B$2:$B$59,[11]Sheet1!K$2:K$59)</f>
        <v>7.8000000000000007</v>
      </c>
      <c r="L51" s="116">
        <f>_xlfn.XLOOKUP($A51,[11]Sheet1!$B$2:$B$59,[11]Sheet1!L$2:L$59)</f>
        <v>15.863639831542969</v>
      </c>
      <c r="M51" s="116">
        <f>_xlfn.XLOOKUP($A51,[11]Sheet1!$B$2:$B$59,[11]Sheet1!M$2:M$59)</f>
        <v>139</v>
      </c>
      <c r="O51" s="116">
        <f>_xlfn.XLOOKUP($A51,[11]Sheet1!$B$2:$B$59,[11]Sheet1!N$2:N$59)</f>
        <v>44.495000000000005</v>
      </c>
      <c r="P51" s="116">
        <f>_xlfn.XLOOKUP($A51,[11]Sheet1!$B$2:$B$59,[11]Sheet1!O$2:O$59)</f>
        <v>5.1000000000000005</v>
      </c>
      <c r="Q51" s="116">
        <f>_xlfn.XLOOKUP($A51,[11]Sheet1!$B$2:$B$59,[11]Sheet1!P$2:P$59)</f>
        <v>36</v>
      </c>
      <c r="S51" s="116">
        <f>_xlfn.XLOOKUP($A51,[11]Sheet1!$B$2:$B$59,[11]Sheet1!Q$2:Q$59)</f>
        <v>175</v>
      </c>
    </row>
    <row r="52" spans="1:19" ht="20.100000000000001" customHeight="1" x14ac:dyDescent="0.3">
      <c r="A52" s="114" t="s">
        <v>17</v>
      </c>
      <c r="C52" s="116">
        <f>_xlfn.XLOOKUP($A52,[11]Sheet1!$B$2:$B$59,[11]Sheet1!C$2:C$59)</f>
        <v>0.15519829094409943</v>
      </c>
      <c r="D52" s="116">
        <f>_xlfn.XLOOKUP($A52,[11]Sheet1!$B$2:$B$59,[11]Sheet1!D$2:D$59)</f>
        <v>0.73073422908782959</v>
      </c>
      <c r="E52" s="116">
        <f>_xlfn.XLOOKUP($A52,[11]Sheet1!$B$2:$B$59,[11]Sheet1!E$2:E$59)</f>
        <v>0.18522800505161285</v>
      </c>
      <c r="F52" s="116">
        <f>_xlfn.XLOOKUP($A52,[11]Sheet1!$B$2:$B$59,[11]Sheet1!F$2:F$59)</f>
        <v>0.21829737722873688</v>
      </c>
      <c r="G52" s="116">
        <f>_xlfn.XLOOKUP($A52,[11]Sheet1!$B$2:$B$59,[11]Sheet1!G$2:G$59)</f>
        <v>0.13794425129890442</v>
      </c>
      <c r="H52" s="116">
        <f>_xlfn.XLOOKUP($A52,[11]Sheet1!$B$2:$B$59,[11]Sheet1!H$2:H$59)</f>
        <v>0.13016209006309509</v>
      </c>
      <c r="I52" s="116">
        <f>_xlfn.XLOOKUP($A52,[11]Sheet1!$B$2:$B$59,[11]Sheet1!I$2:I$59)</f>
        <v>1.5575642585754395</v>
      </c>
      <c r="J52" s="116">
        <f>_xlfn.XLOOKUP($A52,[11]Sheet1!$B$2:$B$59,[11]Sheet1!J$2:J$59)</f>
        <v>0</v>
      </c>
      <c r="K52" s="116">
        <f>_xlfn.XLOOKUP($A52,[11]Sheet1!$B$2:$B$59,[11]Sheet1!K$2:K$59)</f>
        <v>6.6000000000000005</v>
      </c>
      <c r="L52" s="116">
        <f>_xlfn.XLOOKUP($A52,[11]Sheet1!$B$2:$B$59,[11]Sheet1!L$2:L$59)</f>
        <v>0.23599457740783691</v>
      </c>
      <c r="M52" s="116">
        <f>_xlfn.XLOOKUP($A52,[11]Sheet1!$B$2:$B$59,[11]Sheet1!M$2:M$59)</f>
        <v>2</v>
      </c>
      <c r="O52" s="116">
        <f>_xlfn.XLOOKUP($A52,[11]Sheet1!$B$2:$B$59,[11]Sheet1!N$2:N$59)</f>
        <v>2.1</v>
      </c>
      <c r="P52" s="116">
        <f>_xlfn.XLOOKUP($A52,[11]Sheet1!$B$2:$B$59,[11]Sheet1!O$2:O$59)</f>
        <v>3.5</v>
      </c>
      <c r="Q52" s="116">
        <f>_xlfn.XLOOKUP($A52,[11]Sheet1!$B$2:$B$59,[11]Sheet1!P$2:P$59)</f>
        <v>2</v>
      </c>
      <c r="S52" s="116">
        <f>_xlfn.XLOOKUP($A52,[11]Sheet1!$B$2:$B$59,[11]Sheet1!Q$2:Q$59)</f>
        <v>4</v>
      </c>
    </row>
    <row r="53" spans="1:19" ht="20.100000000000001" customHeight="1" x14ac:dyDescent="0.3">
      <c r="A53" s="114" t="s">
        <v>35</v>
      </c>
      <c r="C53" s="116">
        <f>_xlfn.XLOOKUP($A53,[11]Sheet1!$B$2:$B$59,[11]Sheet1!C$2:C$59)</f>
        <v>3.74068284034729</v>
      </c>
      <c r="D53" s="116">
        <f>_xlfn.XLOOKUP($A53,[11]Sheet1!$B$2:$B$59,[11]Sheet1!D$2:D$59)</f>
        <v>14.736237525939941</v>
      </c>
      <c r="E53" s="116">
        <f>_xlfn.XLOOKUP($A53,[11]Sheet1!$B$2:$B$59,[11]Sheet1!E$2:E$59)</f>
        <v>3.8611330986022949</v>
      </c>
      <c r="F53" s="116">
        <f>_xlfn.XLOOKUP($A53,[11]Sheet1!$B$2:$B$59,[11]Sheet1!F$2:F$59)</f>
        <v>5.1685996055603027</v>
      </c>
      <c r="G53" s="116">
        <f>_xlfn.XLOOKUP($A53,[11]Sheet1!$B$2:$B$59,[11]Sheet1!G$2:G$59)</f>
        <v>2.552924633026123</v>
      </c>
      <c r="H53" s="116">
        <f>_xlfn.XLOOKUP($A53,[11]Sheet1!$B$2:$B$59,[11]Sheet1!H$2:H$59)</f>
        <v>1.3830899000167847</v>
      </c>
      <c r="I53" s="116">
        <f>_xlfn.XLOOKUP($A53,[11]Sheet1!$B$2:$B$59,[11]Sheet1!I$2:I$59)</f>
        <v>31.442667007446289</v>
      </c>
      <c r="J53" s="116">
        <f>_xlfn.XLOOKUP($A53,[11]Sheet1!$B$2:$B$59,[11]Sheet1!J$2:J$59)</f>
        <v>0.05</v>
      </c>
      <c r="K53" s="116">
        <f>_xlfn.XLOOKUP($A53,[11]Sheet1!$B$2:$B$59,[11]Sheet1!K$2:K$59)</f>
        <v>7.8000000000000007</v>
      </c>
      <c r="L53" s="116">
        <f>_xlfn.XLOOKUP($A53,[11]Sheet1!$B$2:$B$59,[11]Sheet1!L$2:L$59)</f>
        <v>4.0375213623046875</v>
      </c>
      <c r="M53" s="116">
        <f>_xlfn.XLOOKUP($A53,[11]Sheet1!$B$2:$B$59,[11]Sheet1!M$2:M$59)</f>
        <v>36</v>
      </c>
      <c r="O53" s="116">
        <f>_xlfn.XLOOKUP($A53,[11]Sheet1!$B$2:$B$59,[11]Sheet1!N$2:N$59)</f>
        <v>4.55</v>
      </c>
      <c r="P53" s="116">
        <f>_xlfn.XLOOKUP($A53,[11]Sheet1!$B$2:$B$59,[11]Sheet1!O$2:O$59)</f>
        <v>5.1000000000000005</v>
      </c>
      <c r="Q53" s="116">
        <f>_xlfn.XLOOKUP($A53,[11]Sheet1!$B$2:$B$59,[11]Sheet1!P$2:P$59)</f>
        <v>8</v>
      </c>
      <c r="S53" s="116">
        <f>_xlfn.XLOOKUP($A53,[11]Sheet1!$B$2:$B$59,[11]Sheet1!Q$2:Q$59)</f>
        <v>44</v>
      </c>
    </row>
    <row r="54" spans="1:19" ht="20.100000000000001" customHeight="1" x14ac:dyDescent="0.3">
      <c r="A54" s="114" t="s">
        <v>48</v>
      </c>
      <c r="C54" s="116">
        <f>_xlfn.XLOOKUP($A54,[11]Sheet1!$B$2:$B$59,[11]Sheet1!C$2:C$59)</f>
        <v>12.807104110717773</v>
      </c>
      <c r="D54" s="116">
        <f>_xlfn.XLOOKUP($A54,[11]Sheet1!$B$2:$B$59,[11]Sheet1!D$2:D$59)</f>
        <v>52.696315765380859</v>
      </c>
      <c r="E54" s="116">
        <f>_xlfn.XLOOKUP($A54,[11]Sheet1!$B$2:$B$59,[11]Sheet1!E$2:E$59)</f>
        <v>40.222953796386719</v>
      </c>
      <c r="F54" s="116">
        <f>_xlfn.XLOOKUP($A54,[11]Sheet1!$B$2:$B$59,[11]Sheet1!F$2:F$59)</f>
        <v>37.820476531982422</v>
      </c>
      <c r="G54" s="116">
        <f>_xlfn.XLOOKUP($A54,[11]Sheet1!$B$2:$B$59,[11]Sheet1!G$2:G$59)</f>
        <v>13.268350601196289</v>
      </c>
      <c r="H54" s="116">
        <f>_xlfn.XLOOKUP($A54,[11]Sheet1!$B$2:$B$59,[11]Sheet1!H$2:H$59)</f>
        <v>5.1811513900756836</v>
      </c>
      <c r="I54" s="116">
        <f>_xlfn.XLOOKUP($A54,[11]Sheet1!$B$2:$B$59,[11]Sheet1!I$2:I$59)</f>
        <v>161.99635314941406</v>
      </c>
      <c r="J54" s="116">
        <f>_xlfn.XLOOKUP($A54,[11]Sheet1!$B$2:$B$59,[11]Sheet1!J$2:J$59)</f>
        <v>3</v>
      </c>
      <c r="K54" s="116">
        <f>_xlfn.XLOOKUP($A54,[11]Sheet1!$B$2:$B$59,[11]Sheet1!K$2:K$59)</f>
        <v>8.4</v>
      </c>
      <c r="L54" s="116">
        <f>_xlfn.XLOOKUP($A54,[11]Sheet1!$B$2:$B$59,[11]Sheet1!L$2:L$59)</f>
        <v>19.642423629760742</v>
      </c>
      <c r="M54" s="116">
        <f>_xlfn.XLOOKUP($A54,[11]Sheet1!$B$2:$B$59,[11]Sheet1!M$2:M$59)</f>
        <v>182</v>
      </c>
      <c r="O54" s="116">
        <f>_xlfn.XLOOKUP($A54,[11]Sheet1!$B$2:$B$59,[11]Sheet1!N$2:N$59)</f>
        <v>8</v>
      </c>
      <c r="P54" s="116">
        <f>_xlfn.XLOOKUP($A54,[11]Sheet1!$B$2:$B$59,[11]Sheet1!O$2:O$59)</f>
        <v>6.3000000000000007</v>
      </c>
      <c r="Q54" s="116">
        <f>_xlfn.XLOOKUP($A54,[11]Sheet1!$B$2:$B$59,[11]Sheet1!P$2:P$59)</f>
        <v>31</v>
      </c>
      <c r="S54" s="116">
        <f>_xlfn.XLOOKUP($A54,[11]Sheet1!$B$2:$B$59,[11]Sheet1!Q$2:Q$59)</f>
        <v>213</v>
      </c>
    </row>
    <row r="55" spans="1:19" ht="20.100000000000001" customHeight="1" x14ac:dyDescent="0.3">
      <c r="A55" s="114" t="s">
        <v>49</v>
      </c>
      <c r="C55" s="116">
        <f>_xlfn.XLOOKUP($A55,[11]Sheet1!$B$2:$B$59,[11]Sheet1!C$2:C$59)</f>
        <v>11.748154640197754</v>
      </c>
      <c r="D55" s="116">
        <f>_xlfn.XLOOKUP($A55,[11]Sheet1!$B$2:$B$59,[11]Sheet1!D$2:D$59)</f>
        <v>70.840614318847656</v>
      </c>
      <c r="E55" s="116">
        <f>_xlfn.XLOOKUP($A55,[11]Sheet1!$B$2:$B$59,[11]Sheet1!E$2:E$59)</f>
        <v>31.801902770996094</v>
      </c>
      <c r="F55" s="116">
        <f>_xlfn.XLOOKUP($A55,[11]Sheet1!$B$2:$B$59,[11]Sheet1!F$2:F$59)</f>
        <v>27.765514373779297</v>
      </c>
      <c r="G55" s="116">
        <f>_xlfn.XLOOKUP($A55,[11]Sheet1!$B$2:$B$59,[11]Sheet1!G$2:G$59)</f>
        <v>13.504931449890137</v>
      </c>
      <c r="H55" s="116">
        <f>_xlfn.XLOOKUP($A55,[11]Sheet1!$B$2:$B$59,[11]Sheet1!H$2:H$59)</f>
        <v>9.2028436660766602</v>
      </c>
      <c r="I55" s="116">
        <f>_xlfn.XLOOKUP($A55,[11]Sheet1!$B$2:$B$59,[11]Sheet1!I$2:I$59)</f>
        <v>164.86396789550781</v>
      </c>
      <c r="J55" s="116">
        <f>_xlfn.XLOOKUP($A55,[11]Sheet1!$B$2:$B$59,[11]Sheet1!J$2:J$59)</f>
        <v>1</v>
      </c>
      <c r="K55" s="116">
        <f>_xlfn.XLOOKUP($A55,[11]Sheet1!$B$2:$B$59,[11]Sheet1!K$2:K$59)</f>
        <v>8.4</v>
      </c>
      <c r="L55" s="116">
        <f>_xlfn.XLOOKUP($A55,[11]Sheet1!$B$2:$B$59,[11]Sheet1!L$2:L$59)</f>
        <v>19.745710372924805</v>
      </c>
      <c r="M55" s="116">
        <f>_xlfn.XLOOKUP($A55,[11]Sheet1!$B$2:$B$59,[11]Sheet1!M$2:M$59)</f>
        <v>185</v>
      </c>
      <c r="O55" s="116">
        <f>_xlfn.XLOOKUP($A55,[11]Sheet1!$B$2:$B$59,[11]Sheet1!N$2:N$59)</f>
        <v>8</v>
      </c>
      <c r="P55" s="116">
        <f>_xlfn.XLOOKUP($A55,[11]Sheet1!$B$2:$B$59,[11]Sheet1!O$2:O$59)</f>
        <v>6.3000000000000007</v>
      </c>
      <c r="Q55" s="116">
        <f>_xlfn.XLOOKUP($A55,[11]Sheet1!$B$2:$B$59,[11]Sheet1!P$2:P$59)</f>
        <v>31</v>
      </c>
      <c r="S55" s="116">
        <f>_xlfn.XLOOKUP($A55,[11]Sheet1!$B$2:$B$59,[11]Sheet1!Q$2:Q$59)</f>
        <v>216</v>
      </c>
    </row>
    <row r="56" spans="1:19" ht="20.100000000000001" customHeight="1" x14ac:dyDescent="0.3">
      <c r="A56" s="114" t="s">
        <v>50</v>
      </c>
      <c r="C56" s="116">
        <f>_xlfn.XLOOKUP($A56,[11]Sheet1!$B$2:$B$59,[11]Sheet1!C$2:C$59)</f>
        <v>14.676711082458496</v>
      </c>
      <c r="D56" s="116">
        <f>_xlfn.XLOOKUP($A56,[11]Sheet1!$B$2:$B$59,[11]Sheet1!D$2:D$59)</f>
        <v>116.69972991943359</v>
      </c>
      <c r="E56" s="116">
        <f>_xlfn.XLOOKUP($A56,[11]Sheet1!$B$2:$B$59,[11]Sheet1!E$2:E$59)</f>
        <v>48.962909698486328</v>
      </c>
      <c r="F56" s="116">
        <f>_xlfn.XLOOKUP($A56,[11]Sheet1!$B$2:$B$59,[11]Sheet1!F$2:F$59)</f>
        <v>49.953845977783203</v>
      </c>
      <c r="G56" s="116">
        <f>_xlfn.XLOOKUP($A56,[11]Sheet1!$B$2:$B$59,[11]Sheet1!G$2:G$59)</f>
        <v>19.26738166809082</v>
      </c>
      <c r="H56" s="116">
        <f>_xlfn.XLOOKUP($A56,[11]Sheet1!$B$2:$B$59,[11]Sheet1!H$2:H$59)</f>
        <v>9.3366289138793945</v>
      </c>
      <c r="I56" s="116">
        <f>_xlfn.XLOOKUP($A56,[11]Sheet1!$B$2:$B$59,[11]Sheet1!I$2:I$59)</f>
        <v>258.897216796875</v>
      </c>
      <c r="J56" s="116">
        <f>_xlfn.XLOOKUP($A56,[11]Sheet1!$B$2:$B$59,[11]Sheet1!J$2:J$59)</f>
        <v>2.5</v>
      </c>
      <c r="K56" s="116">
        <f>_xlfn.XLOOKUP($A56,[11]Sheet1!$B$2:$B$59,[11]Sheet1!K$2:K$59)</f>
        <v>8.4</v>
      </c>
      <c r="L56" s="116">
        <f>_xlfn.XLOOKUP($A56,[11]Sheet1!$B$2:$B$59,[11]Sheet1!L$2:L$59)</f>
        <v>31.118717193603516</v>
      </c>
      <c r="M56" s="116">
        <f>_xlfn.XLOOKUP($A56,[11]Sheet1!$B$2:$B$59,[11]Sheet1!M$2:M$59)</f>
        <v>291</v>
      </c>
      <c r="O56" s="116">
        <f>_xlfn.XLOOKUP($A56,[11]Sheet1!$B$2:$B$59,[11]Sheet1!N$2:N$59)</f>
        <v>7.5</v>
      </c>
      <c r="P56" s="116">
        <f>_xlfn.XLOOKUP($A56,[11]Sheet1!$B$2:$B$59,[11]Sheet1!O$2:O$59)</f>
        <v>6.3000000000000007</v>
      </c>
      <c r="Q56" s="116">
        <f>_xlfn.XLOOKUP($A56,[11]Sheet1!$B$2:$B$59,[11]Sheet1!P$2:P$59)</f>
        <v>48</v>
      </c>
      <c r="S56" s="116">
        <f>_xlfn.XLOOKUP($A56,[11]Sheet1!$B$2:$B$59,[11]Sheet1!Q$2:Q$59)</f>
        <v>339</v>
      </c>
    </row>
    <row r="57" spans="1:19" ht="20.100000000000001" customHeight="1" x14ac:dyDescent="0.3">
      <c r="A57" s="114" t="s">
        <v>36</v>
      </c>
      <c r="C57" s="116">
        <f>_xlfn.XLOOKUP($A57,[11]Sheet1!$B$2:$B$59,[11]Sheet1!C$2:C$59)</f>
        <v>3.7470526695251465</v>
      </c>
      <c r="D57" s="116">
        <f>_xlfn.XLOOKUP($A57,[11]Sheet1!$B$2:$B$59,[11]Sheet1!D$2:D$59)</f>
        <v>26.698923110961914</v>
      </c>
      <c r="E57" s="116">
        <f>_xlfn.XLOOKUP($A57,[11]Sheet1!$B$2:$B$59,[11]Sheet1!E$2:E$59)</f>
        <v>7.3420028686523438</v>
      </c>
      <c r="F57" s="116">
        <f>_xlfn.XLOOKUP($A57,[11]Sheet1!$B$2:$B$59,[11]Sheet1!F$2:F$59)</f>
        <v>10.002835273742676</v>
      </c>
      <c r="G57" s="116">
        <f>_xlfn.XLOOKUP($A57,[11]Sheet1!$B$2:$B$59,[11]Sheet1!G$2:G$59)</f>
        <v>4.2129626274108887</v>
      </c>
      <c r="H57" s="116">
        <f>_xlfn.XLOOKUP($A57,[11]Sheet1!$B$2:$B$59,[11]Sheet1!H$2:H$59)</f>
        <v>2.5965759754180908</v>
      </c>
      <c r="I57" s="116">
        <f>_xlfn.XLOOKUP($A57,[11]Sheet1!$B$2:$B$59,[11]Sheet1!I$2:I$59)</f>
        <v>54.600353240966797</v>
      </c>
      <c r="J57" s="116">
        <f>_xlfn.XLOOKUP($A57,[11]Sheet1!$B$2:$B$59,[11]Sheet1!J$2:J$59)</f>
        <v>0</v>
      </c>
      <c r="K57" s="116">
        <f>_xlfn.XLOOKUP($A57,[11]Sheet1!$B$2:$B$59,[11]Sheet1!K$2:K$59)</f>
        <v>7.8000000000000007</v>
      </c>
      <c r="L57" s="116">
        <f>_xlfn.XLOOKUP($A57,[11]Sheet1!$B$2:$B$59,[11]Sheet1!L$2:L$59)</f>
        <v>7.0000452995300293</v>
      </c>
      <c r="M57" s="116">
        <f>_xlfn.XLOOKUP($A57,[11]Sheet1!$B$2:$B$59,[11]Sheet1!M$2:M$59)</f>
        <v>62</v>
      </c>
      <c r="O57" s="116">
        <f>_xlfn.XLOOKUP($A57,[11]Sheet1!$B$2:$B$59,[11]Sheet1!N$2:N$59)</f>
        <v>5.3</v>
      </c>
      <c r="P57" s="116">
        <f>_xlfn.XLOOKUP($A57,[11]Sheet1!$B$2:$B$59,[11]Sheet1!O$2:O$59)</f>
        <v>5.1000000000000005</v>
      </c>
      <c r="Q57" s="116">
        <f>_xlfn.XLOOKUP($A57,[11]Sheet1!$B$2:$B$59,[11]Sheet1!P$2:P$59)</f>
        <v>14</v>
      </c>
      <c r="S57" s="116">
        <f>_xlfn.XLOOKUP($A57,[11]Sheet1!$B$2:$B$59,[11]Sheet1!Q$2:Q$59)</f>
        <v>76</v>
      </c>
    </row>
    <row r="58" spans="1:19" ht="20.100000000000001" customHeight="1" x14ac:dyDescent="0.3">
      <c r="A58" s="114" t="s">
        <v>37</v>
      </c>
      <c r="C58" s="116">
        <f>_xlfn.XLOOKUP($A58,[11]Sheet1!$B$2:$B$59,[11]Sheet1!C$2:C$59)</f>
        <v>2.8273770809173584</v>
      </c>
      <c r="D58" s="116">
        <f>_xlfn.XLOOKUP($A58,[11]Sheet1!$B$2:$B$59,[11]Sheet1!D$2:D$59)</f>
        <v>20.789045333862305</v>
      </c>
      <c r="E58" s="116">
        <f>_xlfn.XLOOKUP($A58,[11]Sheet1!$B$2:$B$59,[11]Sheet1!E$2:E$59)</f>
        <v>6.0530967712402344</v>
      </c>
      <c r="F58" s="116">
        <f>_xlfn.XLOOKUP($A58,[11]Sheet1!$B$2:$B$59,[11]Sheet1!F$2:F$59)</f>
        <v>8.3177995681762695</v>
      </c>
      <c r="G58" s="116">
        <f>_xlfn.XLOOKUP($A58,[11]Sheet1!$B$2:$B$59,[11]Sheet1!G$2:G$59)</f>
        <v>3.1250641345977783</v>
      </c>
      <c r="H58" s="116">
        <f>_xlfn.XLOOKUP($A58,[11]Sheet1!$B$2:$B$59,[11]Sheet1!H$2:H$59)</f>
        <v>2.3821506500244141</v>
      </c>
      <c r="I58" s="116">
        <f>_xlfn.XLOOKUP($A58,[11]Sheet1!$B$2:$B$59,[11]Sheet1!I$2:I$59)</f>
        <v>43.494533538818359</v>
      </c>
      <c r="J58" s="116">
        <f>_xlfn.XLOOKUP($A58,[11]Sheet1!$B$2:$B$59,[11]Sheet1!J$2:J$59)</f>
        <v>1.25</v>
      </c>
      <c r="K58" s="116">
        <f>_xlfn.XLOOKUP($A58,[11]Sheet1!$B$2:$B$59,[11]Sheet1!K$2:K$59)</f>
        <v>7.8000000000000007</v>
      </c>
      <c r="L58" s="116">
        <f>_xlfn.XLOOKUP($A58,[11]Sheet1!$B$2:$B$59,[11]Sheet1!L$2:L$59)</f>
        <v>5.7364788055419922</v>
      </c>
      <c r="M58" s="116">
        <f>_xlfn.XLOOKUP($A58,[11]Sheet1!$B$2:$B$59,[11]Sheet1!M$2:M$59)</f>
        <v>50</v>
      </c>
      <c r="O58" s="116">
        <f>_xlfn.XLOOKUP($A58,[11]Sheet1!$B$2:$B$59,[11]Sheet1!N$2:N$59)</f>
        <v>3.05</v>
      </c>
      <c r="P58" s="116">
        <f>_xlfn.XLOOKUP($A58,[11]Sheet1!$B$2:$B$59,[11]Sheet1!O$2:O$59)</f>
        <v>5.1000000000000005</v>
      </c>
      <c r="Q58" s="116">
        <f>_xlfn.XLOOKUP($A58,[11]Sheet1!$B$2:$B$59,[11]Sheet1!P$2:P$59)</f>
        <v>11</v>
      </c>
      <c r="S58" s="116">
        <f>_xlfn.XLOOKUP($A58,[11]Sheet1!$B$2:$B$59,[11]Sheet1!Q$2:Q$59)</f>
        <v>61</v>
      </c>
    </row>
    <row r="59" spans="1:19" ht="20.100000000000001" customHeight="1" x14ac:dyDescent="0.3">
      <c r="A59" s="114" t="s">
        <v>18</v>
      </c>
      <c r="C59" s="116">
        <f>_xlfn.XLOOKUP($A59,[11]Sheet1!$B$2:$B$59,[11]Sheet1!C$2:C$59)</f>
        <v>0.78677076101303101</v>
      </c>
      <c r="D59" s="116">
        <f>_xlfn.XLOOKUP($A59,[11]Sheet1!$B$2:$B$59,[11]Sheet1!D$2:D$59)</f>
        <v>4.7743406295776367</v>
      </c>
      <c r="E59" s="116">
        <f>_xlfn.XLOOKUP($A59,[11]Sheet1!$B$2:$B$59,[11]Sheet1!E$2:E$59)</f>
        <v>1.1446908712387085</v>
      </c>
      <c r="F59" s="116">
        <f>_xlfn.XLOOKUP($A59,[11]Sheet1!$B$2:$B$59,[11]Sheet1!F$2:F$59)</f>
        <v>2.0894954204559326</v>
      </c>
      <c r="G59" s="116">
        <f>_xlfn.XLOOKUP($A59,[11]Sheet1!$B$2:$B$59,[11]Sheet1!G$2:G$59)</f>
        <v>0.54742413759231567</v>
      </c>
      <c r="H59" s="116">
        <f>_xlfn.XLOOKUP($A59,[11]Sheet1!$B$2:$B$59,[11]Sheet1!H$2:H$59)</f>
        <v>0.75396239757537842</v>
      </c>
      <c r="I59" s="116">
        <f>_xlfn.XLOOKUP($A59,[11]Sheet1!$B$2:$B$59,[11]Sheet1!I$2:I$59)</f>
        <v>10.096684455871582</v>
      </c>
      <c r="J59" s="116">
        <f>_xlfn.XLOOKUP($A59,[11]Sheet1!$B$2:$B$59,[11]Sheet1!J$2:J$59)</f>
        <v>0</v>
      </c>
      <c r="K59" s="116">
        <f>_xlfn.XLOOKUP($A59,[11]Sheet1!$B$2:$B$59,[11]Sheet1!K$2:K$59)</f>
        <v>6.6000000000000005</v>
      </c>
      <c r="L59" s="116">
        <f>_xlfn.XLOOKUP($A59,[11]Sheet1!$B$2:$B$59,[11]Sheet1!L$2:L$59)</f>
        <v>1.5298006534576416</v>
      </c>
      <c r="M59" s="116">
        <f>_xlfn.XLOOKUP($A59,[11]Sheet1!$B$2:$B$59,[11]Sheet1!M$2:M$59)</f>
        <v>12</v>
      </c>
      <c r="O59" s="116">
        <f>_xlfn.XLOOKUP($A59,[11]Sheet1!$B$2:$B$59,[11]Sheet1!N$2:N$59)</f>
        <v>5.5</v>
      </c>
      <c r="P59" s="116">
        <f>_xlfn.XLOOKUP($A59,[11]Sheet1!$B$2:$B$59,[11]Sheet1!O$2:O$59)</f>
        <v>3.5</v>
      </c>
      <c r="Q59" s="116">
        <f>_xlfn.XLOOKUP($A59,[11]Sheet1!$B$2:$B$59,[11]Sheet1!P$2:P$59)</f>
        <v>5</v>
      </c>
      <c r="S59" s="116">
        <f>_xlfn.XLOOKUP($A59,[11]Sheet1!$B$2:$B$59,[11]Sheet1!Q$2:Q$59)</f>
        <v>17</v>
      </c>
    </row>
    <row r="60" spans="1:19" ht="20.100000000000001" customHeight="1" x14ac:dyDescent="0.3">
      <c r="A60" s="114" t="s">
        <v>51</v>
      </c>
      <c r="C60" s="116">
        <f>_xlfn.XLOOKUP($A60,[11]Sheet1!$B$2:$B$59,[11]Sheet1!C$2:C$59)</f>
        <v>15.468504905700684</v>
      </c>
      <c r="D60" s="116">
        <f>_xlfn.XLOOKUP($A60,[11]Sheet1!$B$2:$B$59,[11]Sheet1!D$2:D$59)</f>
        <v>93.887351989746094</v>
      </c>
      <c r="E60" s="116">
        <f>_xlfn.XLOOKUP($A60,[11]Sheet1!$B$2:$B$59,[11]Sheet1!E$2:E$59)</f>
        <v>36.775997161865234</v>
      </c>
      <c r="F60" s="116">
        <f>_xlfn.XLOOKUP($A60,[11]Sheet1!$B$2:$B$59,[11]Sheet1!F$2:F$59)</f>
        <v>50.684047698974609</v>
      </c>
      <c r="G60" s="116">
        <f>_xlfn.XLOOKUP($A60,[11]Sheet1!$B$2:$B$59,[11]Sheet1!G$2:G$59)</f>
        <v>14.311351776123047</v>
      </c>
      <c r="H60" s="116">
        <f>_xlfn.XLOOKUP($A60,[11]Sheet1!$B$2:$B$59,[11]Sheet1!H$2:H$59)</f>
        <v>20.013572692871094</v>
      </c>
      <c r="I60" s="116">
        <f>_xlfn.XLOOKUP($A60,[11]Sheet1!$B$2:$B$59,[11]Sheet1!I$2:I$59)</f>
        <v>231.14082336425781</v>
      </c>
      <c r="J60" s="116">
        <f>_xlfn.XLOOKUP($A60,[11]Sheet1!$B$2:$B$59,[11]Sheet1!J$2:J$59)</f>
        <v>3</v>
      </c>
      <c r="K60" s="116">
        <f>_xlfn.XLOOKUP($A60,[11]Sheet1!$B$2:$B$59,[11]Sheet1!K$2:K$59)</f>
        <v>8.4</v>
      </c>
      <c r="L60" s="116">
        <f>_xlfn.XLOOKUP($A60,[11]Sheet1!$B$2:$B$59,[11]Sheet1!L$2:L$59)</f>
        <v>27.873907089233398</v>
      </c>
      <c r="M60" s="116">
        <f>_xlfn.XLOOKUP($A60,[11]Sheet1!$B$2:$B$59,[11]Sheet1!M$2:M$59)</f>
        <v>260</v>
      </c>
      <c r="O60" s="116">
        <f>_xlfn.XLOOKUP($A60,[11]Sheet1!$B$2:$B$59,[11]Sheet1!N$2:N$59)</f>
        <v>15.75</v>
      </c>
      <c r="P60" s="116">
        <f>_xlfn.XLOOKUP($A60,[11]Sheet1!$B$2:$B$59,[11]Sheet1!O$2:O$59)</f>
        <v>6.3000000000000007</v>
      </c>
      <c r="Q60" s="116">
        <f>_xlfn.XLOOKUP($A60,[11]Sheet1!$B$2:$B$59,[11]Sheet1!P$2:P$59)</f>
        <v>44</v>
      </c>
      <c r="S60" s="116">
        <f>_xlfn.XLOOKUP($A60,[11]Sheet1!$B$2:$B$59,[11]Sheet1!Q$2:Q$59)</f>
        <v>304</v>
      </c>
    </row>
    <row r="61" spans="1:19" ht="20.100000000000001" customHeight="1" x14ac:dyDescent="0.3">
      <c r="A61" s="114" t="s">
        <v>38</v>
      </c>
      <c r="C61" s="116">
        <f>_xlfn.XLOOKUP($A61,[11]Sheet1!$B$2:$B$59,[11]Sheet1!C$2:C$59)</f>
        <v>1.5813812017440796</v>
      </c>
      <c r="D61" s="116">
        <f>_xlfn.XLOOKUP($A61,[11]Sheet1!$B$2:$B$59,[11]Sheet1!D$2:D$59)</f>
        <v>15.342509269714355</v>
      </c>
      <c r="E61" s="116">
        <f>_xlfn.XLOOKUP($A61,[11]Sheet1!$B$2:$B$59,[11]Sheet1!E$2:E$59)</f>
        <v>5.0139212608337402</v>
      </c>
      <c r="F61" s="116">
        <f>_xlfn.XLOOKUP($A61,[11]Sheet1!$B$2:$B$59,[11]Sheet1!F$2:F$59)</f>
        <v>4.9787468910217285</v>
      </c>
      <c r="G61" s="116">
        <f>_xlfn.XLOOKUP($A61,[11]Sheet1!$B$2:$B$59,[11]Sheet1!G$2:G$59)</f>
        <v>2.3335862159729004</v>
      </c>
      <c r="H61" s="116">
        <f>_xlfn.XLOOKUP($A61,[11]Sheet1!$B$2:$B$59,[11]Sheet1!H$2:H$59)</f>
        <v>2.7725448608398438</v>
      </c>
      <c r="I61" s="116">
        <f>_xlfn.XLOOKUP($A61,[11]Sheet1!$B$2:$B$59,[11]Sheet1!I$2:I$59)</f>
        <v>32.022689819335938</v>
      </c>
      <c r="J61" s="116">
        <f>_xlfn.XLOOKUP($A61,[11]Sheet1!$B$2:$B$59,[11]Sheet1!J$2:J$59)</f>
        <v>0</v>
      </c>
      <c r="K61" s="116">
        <f>_xlfn.XLOOKUP($A61,[11]Sheet1!$B$2:$B$59,[11]Sheet1!K$2:K$59)</f>
        <v>7.8000000000000007</v>
      </c>
      <c r="L61" s="116">
        <f>_xlfn.XLOOKUP($A61,[11]Sheet1!$B$2:$B$59,[11]Sheet1!L$2:L$59)</f>
        <v>4.1054730415344238</v>
      </c>
      <c r="M61" s="116">
        <f>_xlfn.XLOOKUP($A61,[11]Sheet1!$B$2:$B$59,[11]Sheet1!M$2:M$59)</f>
        <v>37</v>
      </c>
      <c r="O61" s="116">
        <f>_xlfn.XLOOKUP($A61,[11]Sheet1!$B$2:$B$59,[11]Sheet1!N$2:N$59)</f>
        <v>2</v>
      </c>
      <c r="P61" s="116">
        <f>_xlfn.XLOOKUP($A61,[11]Sheet1!$B$2:$B$59,[11]Sheet1!O$2:O$59)</f>
        <v>5.1000000000000005</v>
      </c>
      <c r="Q61" s="116">
        <f>_xlfn.XLOOKUP($A61,[11]Sheet1!$B$2:$B$59,[11]Sheet1!P$2:P$59)</f>
        <v>8</v>
      </c>
      <c r="S61" s="116">
        <f>_xlfn.XLOOKUP($A61,[11]Sheet1!$B$2:$B$59,[11]Sheet1!Q$2:Q$59)</f>
        <v>45</v>
      </c>
    </row>
    <row r="62" spans="1:19" ht="20.100000000000001" customHeight="1" x14ac:dyDescent="0.3">
      <c r="A62" s="114" t="s">
        <v>52</v>
      </c>
      <c r="C62" s="116">
        <f>_xlfn.XLOOKUP($A62,[11]Sheet1!$B$2:$B$59,[11]Sheet1!C$2:C$59)</f>
        <v>28.443178176879883</v>
      </c>
      <c r="D62" s="116">
        <f>_xlfn.XLOOKUP($A62,[11]Sheet1!$B$2:$B$59,[11]Sheet1!D$2:D$59)</f>
        <v>108.41484832763672</v>
      </c>
      <c r="E62" s="116">
        <f>_xlfn.XLOOKUP($A62,[11]Sheet1!$B$2:$B$59,[11]Sheet1!E$2:E$59)</f>
        <v>58.161636352539063</v>
      </c>
      <c r="F62" s="116">
        <f>_xlfn.XLOOKUP($A62,[11]Sheet1!$B$2:$B$59,[11]Sheet1!F$2:F$59)</f>
        <v>46.331123352050781</v>
      </c>
      <c r="G62" s="116">
        <f>_xlfn.XLOOKUP($A62,[11]Sheet1!$B$2:$B$59,[11]Sheet1!G$2:G$59)</f>
        <v>20.282281875610352</v>
      </c>
      <c r="H62" s="116">
        <f>_xlfn.XLOOKUP($A62,[11]Sheet1!$B$2:$B$59,[11]Sheet1!H$2:H$59)</f>
        <v>14.519410133361816</v>
      </c>
      <c r="I62" s="116">
        <f>_xlfn.XLOOKUP($A62,[11]Sheet1!$B$2:$B$59,[11]Sheet1!I$2:I$59)</f>
        <v>276.1524658203125</v>
      </c>
      <c r="J62" s="116">
        <f>_xlfn.XLOOKUP($A62,[11]Sheet1!$B$2:$B$59,[11]Sheet1!J$2:J$59)</f>
        <v>10</v>
      </c>
      <c r="K62" s="116">
        <f>_xlfn.XLOOKUP($A62,[11]Sheet1!$B$2:$B$59,[11]Sheet1!K$2:K$59)</f>
        <v>8.4</v>
      </c>
      <c r="L62" s="116">
        <f>_xlfn.XLOOKUP($A62,[11]Sheet1!$B$2:$B$59,[11]Sheet1!L$2:L$59)</f>
        <v>34.065769195556641</v>
      </c>
      <c r="M62" s="116">
        <f>_xlfn.XLOOKUP($A62,[11]Sheet1!$B$2:$B$59,[11]Sheet1!M$2:M$59)</f>
        <v>311</v>
      </c>
      <c r="O62" s="116">
        <f>_xlfn.XLOOKUP($A62,[11]Sheet1!$B$2:$B$59,[11]Sheet1!N$2:N$59)</f>
        <v>39.25</v>
      </c>
      <c r="P62" s="116">
        <f>_xlfn.XLOOKUP($A62,[11]Sheet1!$B$2:$B$59,[11]Sheet1!O$2:O$59)</f>
        <v>6.3000000000000007</v>
      </c>
      <c r="Q62" s="116">
        <f>_xlfn.XLOOKUP($A62,[11]Sheet1!$B$2:$B$59,[11]Sheet1!P$2:P$59)</f>
        <v>56</v>
      </c>
      <c r="S62" s="116">
        <f>_xlfn.XLOOKUP($A62,[11]Sheet1!$B$2:$B$59,[11]Sheet1!Q$2:Q$59)</f>
        <v>367</v>
      </c>
    </row>
    <row r="63" spans="1:19" ht="20.100000000000001" customHeight="1" x14ac:dyDescent="0.3">
      <c r="A63" s="114" t="s">
        <v>39</v>
      </c>
      <c r="C63" s="116">
        <f>_xlfn.XLOOKUP($A63,[11]Sheet1!$B$2:$B$59,[11]Sheet1!C$2:C$59)</f>
        <v>5.364201545715332</v>
      </c>
      <c r="D63" s="116">
        <f>_xlfn.XLOOKUP($A63,[11]Sheet1!$B$2:$B$59,[11]Sheet1!D$2:D$59)</f>
        <v>38.56243896484375</v>
      </c>
      <c r="E63" s="116">
        <f>_xlfn.XLOOKUP($A63,[11]Sheet1!$B$2:$B$59,[11]Sheet1!E$2:E$59)</f>
        <v>12.851288795471191</v>
      </c>
      <c r="F63" s="116">
        <f>_xlfn.XLOOKUP($A63,[11]Sheet1!$B$2:$B$59,[11]Sheet1!F$2:F$59)</f>
        <v>14.538249015808105</v>
      </c>
      <c r="G63" s="116">
        <f>_xlfn.XLOOKUP($A63,[11]Sheet1!$B$2:$B$59,[11]Sheet1!G$2:G$59)</f>
        <v>6.7449989318847656</v>
      </c>
      <c r="H63" s="116">
        <f>_xlfn.XLOOKUP($A63,[11]Sheet1!$B$2:$B$59,[11]Sheet1!H$2:H$59)</f>
        <v>5.5000958442687988</v>
      </c>
      <c r="I63" s="116">
        <f>_xlfn.XLOOKUP($A63,[11]Sheet1!$B$2:$B$59,[11]Sheet1!I$2:I$59)</f>
        <v>83.561271667480469</v>
      </c>
      <c r="J63" s="116">
        <f>_xlfn.XLOOKUP($A63,[11]Sheet1!$B$2:$B$59,[11]Sheet1!J$2:J$59)</f>
        <v>1.5</v>
      </c>
      <c r="K63" s="116">
        <f>_xlfn.XLOOKUP($A63,[11]Sheet1!$B$2:$B$59,[11]Sheet1!K$2:K$59)</f>
        <v>7.8000000000000007</v>
      </c>
      <c r="L63" s="116">
        <f>_xlfn.XLOOKUP($A63,[11]Sheet1!$B$2:$B$59,[11]Sheet1!L$2:L$59)</f>
        <v>10.905291557312012</v>
      </c>
      <c r="M63" s="116">
        <f>_xlfn.XLOOKUP($A63,[11]Sheet1!$B$2:$B$59,[11]Sheet1!M$2:M$59)</f>
        <v>95</v>
      </c>
      <c r="O63" s="116">
        <f>_xlfn.XLOOKUP($A63,[11]Sheet1!$B$2:$B$59,[11]Sheet1!N$2:N$59)</f>
        <v>12.75</v>
      </c>
      <c r="P63" s="116">
        <f>_xlfn.XLOOKUP($A63,[11]Sheet1!$B$2:$B$59,[11]Sheet1!O$2:O$59)</f>
        <v>5.1000000000000005</v>
      </c>
      <c r="Q63" s="116">
        <f>_xlfn.XLOOKUP($A63,[11]Sheet1!$B$2:$B$59,[11]Sheet1!P$2:P$59)</f>
        <v>22</v>
      </c>
      <c r="S63" s="116">
        <f>_xlfn.XLOOKUP($A63,[11]Sheet1!$B$2:$B$59,[11]Sheet1!Q$2:Q$59)</f>
        <v>117</v>
      </c>
    </row>
    <row r="64" spans="1:19" ht="20.100000000000001" customHeight="1" x14ac:dyDescent="0.3">
      <c r="A64" s="114" t="s">
        <v>40</v>
      </c>
      <c r="C64" s="116">
        <f>_xlfn.XLOOKUP($A64,[11]Sheet1!$B$2:$B$59,[11]Sheet1!C$2:C$59)</f>
        <v>2.3713366985321045</v>
      </c>
      <c r="D64" s="116">
        <f>_xlfn.XLOOKUP($A64,[11]Sheet1!$B$2:$B$59,[11]Sheet1!D$2:D$59)</f>
        <v>26.780811309814453</v>
      </c>
      <c r="E64" s="116">
        <f>_xlfn.XLOOKUP($A64,[11]Sheet1!$B$2:$B$59,[11]Sheet1!E$2:E$59)</f>
        <v>6.4776229858398438</v>
      </c>
      <c r="F64" s="116">
        <f>_xlfn.XLOOKUP($A64,[11]Sheet1!$B$2:$B$59,[11]Sheet1!F$2:F$59)</f>
        <v>9.988072395324707</v>
      </c>
      <c r="G64" s="116">
        <f>_xlfn.XLOOKUP($A64,[11]Sheet1!$B$2:$B$59,[11]Sheet1!G$2:G$59)</f>
        <v>3.1280419826507568</v>
      </c>
      <c r="H64" s="116">
        <f>_xlfn.XLOOKUP($A64,[11]Sheet1!$B$2:$B$59,[11]Sheet1!H$2:H$59)</f>
        <v>3.3889734745025635</v>
      </c>
      <c r="I64" s="116">
        <f>_xlfn.XLOOKUP($A64,[11]Sheet1!$B$2:$B$59,[11]Sheet1!I$2:I$59)</f>
        <v>52.134857177734375</v>
      </c>
      <c r="J64" s="116">
        <f>_xlfn.XLOOKUP($A64,[11]Sheet1!$B$2:$B$59,[11]Sheet1!J$2:J$59)</f>
        <v>0</v>
      </c>
      <c r="K64" s="116">
        <f>_xlfn.XLOOKUP($A64,[11]Sheet1!$B$2:$B$59,[11]Sheet1!K$2:K$59)</f>
        <v>7.8000000000000007</v>
      </c>
      <c r="L64" s="116">
        <f>_xlfn.XLOOKUP($A64,[11]Sheet1!$B$2:$B$59,[11]Sheet1!L$2:L$59)</f>
        <v>6.6839561462402344</v>
      </c>
      <c r="M64" s="116">
        <f>_xlfn.XLOOKUP($A64,[11]Sheet1!$B$2:$B$59,[11]Sheet1!M$2:M$59)</f>
        <v>59</v>
      </c>
      <c r="O64" s="116">
        <f>_xlfn.XLOOKUP($A64,[11]Sheet1!$B$2:$B$59,[11]Sheet1!N$2:N$59)</f>
        <v>5.1999999999999984</v>
      </c>
      <c r="P64" s="116">
        <f>_xlfn.XLOOKUP($A64,[11]Sheet1!$B$2:$B$59,[11]Sheet1!O$2:O$59)</f>
        <v>5.1000000000000005</v>
      </c>
      <c r="Q64" s="116">
        <f>_xlfn.XLOOKUP($A64,[11]Sheet1!$B$2:$B$59,[11]Sheet1!P$2:P$59)</f>
        <v>13</v>
      </c>
      <c r="S64" s="116">
        <f>_xlfn.XLOOKUP($A64,[11]Sheet1!$B$2:$B$59,[11]Sheet1!Q$2:Q$59)</f>
        <v>72</v>
      </c>
    </row>
    <row r="65" spans="1:20" s="112" customFormat="1" ht="20.100000000000001" customHeight="1" thickBot="1" x14ac:dyDescent="0.35">
      <c r="A65" s="113" t="s">
        <v>62</v>
      </c>
      <c r="B65" s="53"/>
      <c r="C65" s="117">
        <f>SUM(C7:C64)</f>
        <v>1041.0137578994036</v>
      </c>
      <c r="D65" s="117">
        <f t="shared" ref="D65:Q65" si="0">SUM(D7:D64)</f>
        <v>5292.2705208063126</v>
      </c>
      <c r="E65" s="117">
        <f t="shared" si="0"/>
        <v>3739.7836921289563</v>
      </c>
      <c r="F65" s="117">
        <f t="shared" si="0"/>
        <v>2867.6116013266146</v>
      </c>
      <c r="G65" s="117">
        <f t="shared" si="0"/>
        <v>1130.7231654152274</v>
      </c>
      <c r="H65" s="117">
        <f t="shared" ref="H65" si="1">SUM(H7:H64)</f>
        <v>861.38818329572678</v>
      </c>
      <c r="I65" s="117">
        <f t="shared" si="0"/>
        <v>14932.790859699249</v>
      </c>
      <c r="J65" s="117">
        <f t="shared" ref="J65" si="2">SUM(J7:J64)</f>
        <v>531.15750000000003</v>
      </c>
      <c r="K65" s="110"/>
      <c r="L65" s="118">
        <f>SUM(L7:L64)</f>
        <v>1712.6413157582283</v>
      </c>
      <c r="M65" s="119">
        <f>SUM(M7:M64)</f>
        <v>16676</v>
      </c>
      <c r="N65" s="53"/>
      <c r="O65" s="117">
        <f t="shared" si="0"/>
        <v>1501.3354999999997</v>
      </c>
      <c r="P65" s="110"/>
      <c r="Q65" s="119">
        <f t="shared" si="0"/>
        <v>3025</v>
      </c>
      <c r="R65" s="53"/>
      <c r="S65" s="120">
        <f>SUM(S7:S64)</f>
        <v>19701</v>
      </c>
      <c r="T65" s="101"/>
    </row>
    <row r="66" spans="1:20" s="112" customFormat="1" ht="20.100000000000001" customHeight="1" thickTop="1" x14ac:dyDescent="0.3">
      <c r="A66" s="100"/>
      <c r="B66" s="53"/>
      <c r="C66" s="100"/>
      <c r="D66" s="100"/>
      <c r="E66" s="100"/>
      <c r="F66" s="100"/>
      <c r="G66" s="100"/>
      <c r="H66" s="100"/>
      <c r="I66" s="100"/>
      <c r="J66" s="100"/>
      <c r="K66" s="110"/>
      <c r="L66" s="100"/>
      <c r="M66" s="100"/>
      <c r="N66" s="53"/>
      <c r="O66" s="100"/>
      <c r="P66" s="110"/>
      <c r="Q66" s="100"/>
      <c r="R66" s="53"/>
      <c r="S66" s="111"/>
      <c r="T66" s="101"/>
    </row>
    <row r="67" spans="1:20" s="112" customFormat="1" ht="21.6" customHeight="1" x14ac:dyDescent="0.3">
      <c r="A67" s="228"/>
      <c r="B67" s="53"/>
      <c r="C67" s="108" t="s">
        <v>237</v>
      </c>
      <c r="E67" s="227"/>
      <c r="F67" s="227"/>
      <c r="G67" s="227"/>
      <c r="H67" s="227"/>
      <c r="I67" s="227"/>
      <c r="J67" s="227"/>
      <c r="K67" s="227"/>
      <c r="L67" s="227"/>
      <c r="M67" s="227"/>
      <c r="N67" s="227"/>
      <c r="O67" s="227"/>
      <c r="P67" s="227"/>
      <c r="Q67" s="227"/>
      <c r="R67" s="227"/>
      <c r="S67" s="227"/>
      <c r="T67" s="101"/>
    </row>
    <row r="68" spans="1:20" ht="21.6" customHeight="1" x14ac:dyDescent="0.3">
      <c r="A68" s="231"/>
      <c r="C68" s="108" t="s">
        <v>238</v>
      </c>
      <c r="D68" s="227"/>
      <c r="E68" s="227"/>
      <c r="F68" s="227"/>
      <c r="G68" s="227"/>
      <c r="H68" s="227"/>
      <c r="I68" s="227"/>
      <c r="J68" s="227"/>
      <c r="K68" s="227"/>
      <c r="L68" s="227"/>
      <c r="M68" s="227"/>
      <c r="N68" s="227"/>
      <c r="O68" s="227"/>
      <c r="P68" s="227"/>
      <c r="Q68" s="227"/>
    </row>
  </sheetData>
  <mergeCells count="3">
    <mergeCell ref="C4:M4"/>
    <mergeCell ref="O4:Q4"/>
    <mergeCell ref="A5:A6"/>
  </mergeCells>
  <printOptions horizontalCentered="1"/>
  <pageMargins left="0.25" right="0.25" top="0.5" bottom="0.25" header="0.3" footer="0.3"/>
  <pageSetup scale="51" orientation="portrait" r:id="rId1"/>
  <headerFooter>
    <oddHeader xml:space="preserve">&amp;R&amp;"-,Bold"&amp;14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A1:H70"/>
  <sheetViews>
    <sheetView zoomScaleNormal="100" zoomScaleSheetLayoutView="100" workbookViewId="0">
      <pane xSplit="2" ySplit="5" topLeftCell="C6" activePane="bottomRight" state="frozen"/>
      <selection pane="topRight" activeCell="C1" sqref="C1"/>
      <selection pane="bottomLeft" activeCell="A6" sqref="A6"/>
      <selection pane="bottomRight"/>
    </sheetView>
  </sheetViews>
  <sheetFormatPr defaultColWidth="9.21875" defaultRowHeight="14.4" x14ac:dyDescent="0.3"/>
  <cols>
    <col min="1" max="1" width="17.77734375" style="121" customWidth="1"/>
    <col min="2" max="2" width="1.77734375" style="53" customWidth="1"/>
    <col min="3" max="4" width="15.77734375" style="121" customWidth="1"/>
    <col min="5" max="5" width="1.77734375" style="53" customWidth="1"/>
    <col min="6" max="6" width="15.77734375" style="121" customWidth="1"/>
    <col min="7" max="7" width="11.44140625" style="121" bestFit="1" customWidth="1"/>
    <col min="8" max="16384" width="9.21875" style="121"/>
  </cols>
  <sheetData>
    <row r="1" spans="1:7" ht="20.100000000000001" customHeight="1" x14ac:dyDescent="0.3">
      <c r="A1" s="134" t="s">
        <v>173</v>
      </c>
      <c r="B1" s="100"/>
      <c r="E1" s="100"/>
    </row>
    <row r="2" spans="1:7" ht="18.600000000000001" customHeight="1" x14ac:dyDescent="0.3">
      <c r="A2" s="49"/>
      <c r="B2" s="51"/>
      <c r="E2" s="51"/>
    </row>
    <row r="3" spans="1:7" ht="18.600000000000001" customHeight="1" x14ac:dyDescent="0.3">
      <c r="B3" s="51"/>
      <c r="E3" s="51"/>
    </row>
    <row r="4" spans="1:7" ht="43.2" x14ac:dyDescent="0.3">
      <c r="A4" s="284" t="s">
        <v>63</v>
      </c>
      <c r="B4" s="81"/>
      <c r="C4" s="122" t="s">
        <v>176</v>
      </c>
      <c r="D4" s="140" t="s">
        <v>175</v>
      </c>
      <c r="E4" s="81"/>
      <c r="F4" s="74" t="s">
        <v>171</v>
      </c>
    </row>
    <row r="5" spans="1:7" x14ac:dyDescent="0.3">
      <c r="A5" s="285"/>
      <c r="B5" s="81"/>
      <c r="C5" s="78" t="s">
        <v>65</v>
      </c>
      <c r="D5" s="78" t="s">
        <v>1</v>
      </c>
      <c r="E5" s="81"/>
      <c r="F5" s="78" t="s">
        <v>66</v>
      </c>
    </row>
    <row r="6" spans="1:7" ht="18.600000000000001" customHeight="1" x14ac:dyDescent="0.3">
      <c r="A6" s="123" t="s">
        <v>53</v>
      </c>
      <c r="B6" s="81"/>
      <c r="C6" s="135">
        <f>'Program 10'!C7+'Program 90'!C7</f>
        <v>58188626.870056249</v>
      </c>
      <c r="D6" s="124">
        <f>'Program 10'!B7+'Program 90'!B7</f>
        <v>556.35000000000014</v>
      </c>
      <c r="E6" s="81"/>
      <c r="F6" s="136">
        <f>C6/D6</f>
        <v>104589.96471655654</v>
      </c>
      <c r="G6" s="125"/>
    </row>
    <row r="7" spans="1:7" ht="18.600000000000001" customHeight="1" x14ac:dyDescent="0.3">
      <c r="A7" s="123" t="s">
        <v>4</v>
      </c>
      <c r="B7" s="82"/>
      <c r="C7" s="135">
        <f>'Program 10'!C8+'Program 90'!C8</f>
        <v>226535.74000000002</v>
      </c>
      <c r="D7" s="124">
        <f>'Program 10'!B8+'Program 90'!B8</f>
        <v>4.2153</v>
      </c>
      <c r="E7" s="82"/>
      <c r="F7" s="136">
        <f t="shared" ref="F7:F63" si="0">C7/D7</f>
        <v>53741.309040874912</v>
      </c>
      <c r="G7" s="125"/>
    </row>
    <row r="8" spans="1:7" ht="18.600000000000001" customHeight="1" x14ac:dyDescent="0.3">
      <c r="A8" s="123" t="s">
        <v>5</v>
      </c>
      <c r="B8" s="81"/>
      <c r="C8" s="135">
        <f>'Program 10'!C9+'Program 90'!C9</f>
        <v>1880251.3600000003</v>
      </c>
      <c r="D8" s="124">
        <f>'Program 10'!B9+'Program 90'!B9</f>
        <v>22.6</v>
      </c>
      <c r="E8" s="81"/>
      <c r="F8" s="136">
        <f t="shared" si="0"/>
        <v>83196.962831858415</v>
      </c>
      <c r="G8" s="125"/>
    </row>
    <row r="9" spans="1:7" ht="18.600000000000001" customHeight="1" x14ac:dyDescent="0.3">
      <c r="A9" s="123" t="s">
        <v>19</v>
      </c>
      <c r="C9" s="135">
        <f>'Program 10'!C10+'Program 90'!C10</f>
        <v>7278746.9615227981</v>
      </c>
      <c r="D9" s="124">
        <f>'Program 10'!B10+'Program 90'!B10</f>
        <v>102.45999999999997</v>
      </c>
      <c r="F9" s="136">
        <f t="shared" si="0"/>
        <v>71039.888361534264</v>
      </c>
      <c r="G9" s="125"/>
    </row>
    <row r="10" spans="1:7" ht="18.600000000000001" customHeight="1" x14ac:dyDescent="0.3">
      <c r="A10" s="123" t="s">
        <v>6</v>
      </c>
      <c r="C10" s="135">
        <f>'Program 10'!C11+'Program 90'!C11</f>
        <v>1757453.7629560002</v>
      </c>
      <c r="D10" s="124">
        <f>'Program 10'!B11+'Program 90'!B11</f>
        <v>21.450000000000003</v>
      </c>
      <c r="F10" s="136">
        <f t="shared" si="0"/>
        <v>81932.576361585074</v>
      </c>
      <c r="G10" s="125"/>
    </row>
    <row r="11" spans="1:7" ht="18.600000000000001" customHeight="1" x14ac:dyDescent="0.3">
      <c r="A11" s="123" t="s">
        <v>7</v>
      </c>
      <c r="C11" s="135">
        <f>'Program 10'!C12+'Program 90'!C12</f>
        <v>755951.20000000019</v>
      </c>
      <c r="D11" s="124">
        <f>'Program 10'!B12+'Program 90'!B12</f>
        <v>13.099999999999991</v>
      </c>
      <c r="F11" s="136">
        <f t="shared" si="0"/>
        <v>57706.1984732825</v>
      </c>
      <c r="G11" s="125"/>
    </row>
    <row r="12" spans="1:7" ht="18.600000000000001" customHeight="1" x14ac:dyDescent="0.3">
      <c r="A12" s="123" t="s">
        <v>41</v>
      </c>
      <c r="B12" s="83"/>
      <c r="C12" s="135">
        <f>'Program 10'!C13+'Program 90'!C13</f>
        <v>27876244.119700026</v>
      </c>
      <c r="D12" s="124">
        <f>'Program 10'!B13+'Program 90'!B13</f>
        <v>300.77000000000004</v>
      </c>
      <c r="E12" s="83"/>
      <c r="F12" s="136">
        <f t="shared" si="0"/>
        <v>92682.927551617584</v>
      </c>
      <c r="G12" s="125"/>
    </row>
    <row r="13" spans="1:7" ht="18.600000000000001" customHeight="1" x14ac:dyDescent="0.3">
      <c r="A13" s="123" t="s">
        <v>8</v>
      </c>
      <c r="C13" s="135">
        <f>'Program 10'!C14+'Program 90'!C14</f>
        <v>1440438.6231049995</v>
      </c>
      <c r="D13" s="124">
        <f>'Program 10'!B14+'Program 90'!B14</f>
        <v>21</v>
      </c>
      <c r="F13" s="136">
        <f t="shared" si="0"/>
        <v>68592.315385952359</v>
      </c>
      <c r="G13" s="125"/>
    </row>
    <row r="14" spans="1:7" ht="18.600000000000001" customHeight="1" x14ac:dyDescent="0.3">
      <c r="A14" s="123" t="s">
        <v>20</v>
      </c>
      <c r="C14" s="135">
        <f>'Program 10'!C15+'Program 90'!C15</f>
        <v>5077616.6272</v>
      </c>
      <c r="D14" s="124">
        <f>'Program 10'!B15+'Program 90'!B15</f>
        <v>61.175000000000004</v>
      </c>
      <c r="F14" s="136">
        <f t="shared" si="0"/>
        <v>83001.497788312219</v>
      </c>
      <c r="G14" s="125"/>
    </row>
    <row r="15" spans="1:7" ht="18.600000000000001" customHeight="1" x14ac:dyDescent="0.3">
      <c r="A15" s="123" t="s">
        <v>42</v>
      </c>
      <c r="C15" s="135">
        <f>'Program 10'!C16+'Program 90'!C16</f>
        <v>35672481.343999967</v>
      </c>
      <c r="D15" s="124">
        <f>'Program 10'!B16+'Program 90'!B16</f>
        <v>478.47500000000014</v>
      </c>
      <c r="F15" s="136">
        <f t="shared" si="0"/>
        <v>74554.535438633073</v>
      </c>
      <c r="G15" s="125"/>
    </row>
    <row r="16" spans="1:7" ht="18.600000000000001" customHeight="1" x14ac:dyDescent="0.3">
      <c r="A16" s="123" t="s">
        <v>9</v>
      </c>
      <c r="C16" s="135">
        <f>'Program 10'!C17+'Program 90'!C17</f>
        <v>886402.38100000005</v>
      </c>
      <c r="D16" s="124">
        <f>'Program 10'!B17+'Program 90'!B17</f>
        <v>13.100000000000001</v>
      </c>
      <c r="F16" s="136">
        <f t="shared" si="0"/>
        <v>67664.303893129763</v>
      </c>
      <c r="G16" s="125"/>
    </row>
    <row r="17" spans="1:7" ht="18.600000000000001" customHeight="1" x14ac:dyDescent="0.3">
      <c r="A17" s="123" t="s">
        <v>21</v>
      </c>
      <c r="C17" s="135">
        <f>'Program 10'!C18+'Program 90'!C18</f>
        <v>4848194.5999999996</v>
      </c>
      <c r="D17" s="124">
        <f>'Program 10'!B18+'Program 90'!B18</f>
        <v>66.449999999999989</v>
      </c>
      <c r="F17" s="136">
        <f t="shared" si="0"/>
        <v>72960.039127163283</v>
      </c>
      <c r="G17" s="125"/>
    </row>
    <row r="18" spans="1:7" ht="18.600000000000001" customHeight="1" x14ac:dyDescent="0.3">
      <c r="A18" s="123" t="s">
        <v>22</v>
      </c>
      <c r="B18" s="83"/>
      <c r="C18" s="135">
        <f>'Program 10'!C19+'Program 90'!C19</f>
        <v>5923547.0392694352</v>
      </c>
      <c r="D18" s="124">
        <f>'Program 10'!B19+'Program 90'!B19</f>
        <v>99.299999999999969</v>
      </c>
      <c r="E18" s="83"/>
      <c r="F18" s="136">
        <f t="shared" si="0"/>
        <v>59653.041684485768</v>
      </c>
      <c r="G18" s="125"/>
    </row>
    <row r="19" spans="1:7" ht="18.600000000000001" customHeight="1" x14ac:dyDescent="0.3">
      <c r="A19" s="123" t="s">
        <v>10</v>
      </c>
      <c r="C19" s="135">
        <f>'Program 10'!C20+'Program 90'!C20</f>
        <v>1019579.8800000005</v>
      </c>
      <c r="D19" s="124">
        <f>'Program 10'!B20+'Program 90'!B20</f>
        <v>12.33</v>
      </c>
      <c r="F19" s="136">
        <f t="shared" si="0"/>
        <v>82690.987834549916</v>
      </c>
      <c r="G19" s="125"/>
    </row>
    <row r="20" spans="1:7" ht="18.600000000000001" customHeight="1" x14ac:dyDescent="0.3">
      <c r="A20" s="123" t="s">
        <v>43</v>
      </c>
      <c r="C20" s="135">
        <f>'Program 10'!C21+'Program 90'!C21</f>
        <v>38623599.651961975</v>
      </c>
      <c r="D20" s="124">
        <f>'Program 10'!B21+'Program 90'!B21</f>
        <v>486.5</v>
      </c>
      <c r="F20" s="136">
        <f t="shared" si="0"/>
        <v>79390.74954154568</v>
      </c>
      <c r="G20" s="125"/>
    </row>
    <row r="21" spans="1:7" ht="18.600000000000001" customHeight="1" x14ac:dyDescent="0.3">
      <c r="A21" s="123" t="s">
        <v>23</v>
      </c>
      <c r="C21" s="135">
        <f>'Program 10'!C22+'Program 90'!C22</f>
        <v>6918690.665</v>
      </c>
      <c r="D21" s="124">
        <f>'Program 10'!B22+'Program 90'!B22</f>
        <v>93.5</v>
      </c>
      <c r="F21" s="136">
        <f t="shared" si="0"/>
        <v>73996.691604278079</v>
      </c>
      <c r="G21" s="125"/>
    </row>
    <row r="22" spans="1:7" ht="18.600000000000001" customHeight="1" x14ac:dyDescent="0.3">
      <c r="A22" s="123" t="s">
        <v>24</v>
      </c>
      <c r="C22" s="135">
        <f>'Program 10'!C23+'Program 90'!C23</f>
        <v>2374898.6</v>
      </c>
      <c r="D22" s="124">
        <f>'Program 10'!B23+'Program 90'!B23</f>
        <v>32.099999999999994</v>
      </c>
      <c r="F22" s="136">
        <f t="shared" si="0"/>
        <v>73984.38006230531</v>
      </c>
      <c r="G22" s="125"/>
    </row>
    <row r="23" spans="1:7" ht="18.600000000000001" customHeight="1" x14ac:dyDescent="0.3">
      <c r="A23" s="123" t="s">
        <v>11</v>
      </c>
      <c r="C23" s="135">
        <f>'Program 10'!C24+'Program 90'!C24</f>
        <v>1170058.0949999995</v>
      </c>
      <c r="D23" s="124">
        <f>'Program 10'!B24+'Program 90'!B24</f>
        <v>16.5</v>
      </c>
      <c r="F23" s="136">
        <f t="shared" si="0"/>
        <v>70912.611818181787</v>
      </c>
      <c r="G23" s="125"/>
    </row>
    <row r="24" spans="1:7" ht="18.600000000000001" customHeight="1" x14ac:dyDescent="0.3">
      <c r="A24" s="123" t="s">
        <v>54</v>
      </c>
      <c r="C24" s="135">
        <f>'Program 10'!C25+'Program 90'!C25</f>
        <v>391381121.94437712</v>
      </c>
      <c r="D24" s="124">
        <f>'Program 10'!B25+'Program 90'!B25</f>
        <v>4151.67</v>
      </c>
      <c r="F24" s="136">
        <f t="shared" si="0"/>
        <v>94270.768617057023</v>
      </c>
      <c r="G24" s="125"/>
    </row>
    <row r="25" spans="1:7" ht="18.600000000000001" customHeight="1" x14ac:dyDescent="0.3">
      <c r="A25" s="123" t="s">
        <v>25</v>
      </c>
      <c r="C25" s="135">
        <f>'Program 10'!C26+'Program 90'!C26</f>
        <v>7179415.4199999999</v>
      </c>
      <c r="D25" s="124">
        <f>'Program 10'!B26+'Program 90'!B26</f>
        <v>94.360000000000014</v>
      </c>
      <c r="F25" s="136">
        <f t="shared" si="0"/>
        <v>76085.369012293333</v>
      </c>
      <c r="G25" s="125"/>
    </row>
    <row r="26" spans="1:7" ht="18.600000000000001" customHeight="1" x14ac:dyDescent="0.3">
      <c r="A26" s="123" t="s">
        <v>26</v>
      </c>
      <c r="C26" s="135">
        <f>'Program 10'!C27+'Program 90'!C27</f>
        <v>8460248.8645000029</v>
      </c>
      <c r="D26" s="124">
        <f>'Program 10'!B27+'Program 90'!B27</f>
        <v>82.9</v>
      </c>
      <c r="F26" s="136">
        <f t="shared" si="0"/>
        <v>102053.66543425818</v>
      </c>
      <c r="G26" s="125"/>
    </row>
    <row r="27" spans="1:7" ht="18.600000000000001" customHeight="1" x14ac:dyDescent="0.3">
      <c r="A27" s="123" t="s">
        <v>12</v>
      </c>
      <c r="C27" s="135">
        <f>'Program 10'!C28+'Program 90'!C28</f>
        <v>797561.8996</v>
      </c>
      <c r="D27" s="124">
        <f>'Program 10'!B28+'Program 90'!B28</f>
        <v>11.66</v>
      </c>
      <c r="F27" s="136">
        <f t="shared" si="0"/>
        <v>68401.535128644944</v>
      </c>
      <c r="G27" s="125"/>
    </row>
    <row r="28" spans="1:7" ht="18.600000000000001" customHeight="1" x14ac:dyDescent="0.3">
      <c r="A28" s="123" t="s">
        <v>27</v>
      </c>
      <c r="C28" s="135">
        <f>'Program 10'!C29+'Program 90'!C29</f>
        <v>4221172.8</v>
      </c>
      <c r="D28" s="124">
        <f>'Program 10'!B29+'Program 90'!B29</f>
        <v>52.65</v>
      </c>
      <c r="F28" s="136">
        <f t="shared" si="0"/>
        <v>80174.222222222219</v>
      </c>
      <c r="G28" s="125"/>
    </row>
    <row r="29" spans="1:7" ht="18.600000000000001" customHeight="1" x14ac:dyDescent="0.3">
      <c r="A29" s="123" t="s">
        <v>28</v>
      </c>
      <c r="C29" s="135">
        <f>'Program 10'!C30+'Program 90'!C30</f>
        <v>9328298.7399999984</v>
      </c>
      <c r="D29" s="124">
        <f>'Program 10'!B30+'Program 90'!B30</f>
        <v>128.5</v>
      </c>
      <c r="F29" s="136">
        <f t="shared" si="0"/>
        <v>72593.764513618662</v>
      </c>
      <c r="G29" s="125"/>
    </row>
    <row r="30" spans="1:7" ht="18.600000000000001" customHeight="1" x14ac:dyDescent="0.3">
      <c r="A30" s="123" t="s">
        <v>13</v>
      </c>
      <c r="C30" s="135">
        <f>'Program 10'!C31+'Program 90'!C31</f>
        <v>527292.75800000003</v>
      </c>
      <c r="D30" s="124">
        <f>'Program 10'!B31+'Program 90'!B31</f>
        <v>8.1999999999999993</v>
      </c>
      <c r="F30" s="136">
        <f t="shared" si="0"/>
        <v>64303.99487804879</v>
      </c>
      <c r="G30" s="125"/>
    </row>
    <row r="31" spans="1:7" ht="18.600000000000001" customHeight="1" x14ac:dyDescent="0.3">
      <c r="A31" s="123" t="s">
        <v>14</v>
      </c>
      <c r="C31" s="135">
        <f>'Program 10'!C32+'Program 90'!C32</f>
        <v>888924.28707624786</v>
      </c>
      <c r="D31" s="124">
        <f>'Program 10'!B32+'Program 90'!B32</f>
        <v>11.435</v>
      </c>
      <c r="F31" s="136">
        <f t="shared" si="0"/>
        <v>77737.147973436629</v>
      </c>
      <c r="G31" s="125"/>
    </row>
    <row r="32" spans="1:7" ht="18.600000000000001" customHeight="1" x14ac:dyDescent="0.3">
      <c r="A32" s="123" t="s">
        <v>44</v>
      </c>
      <c r="C32" s="135">
        <f>'Program 10'!C33+'Program 90'!C33</f>
        <v>14772620.512000006</v>
      </c>
      <c r="D32" s="124">
        <f>'Program 10'!B33+'Program 90'!B33</f>
        <v>175.6</v>
      </c>
      <c r="F32" s="136">
        <f t="shared" si="0"/>
        <v>84126.540501138981</v>
      </c>
      <c r="G32" s="125"/>
    </row>
    <row r="33" spans="1:7" ht="18.600000000000001" customHeight="1" x14ac:dyDescent="0.3">
      <c r="A33" s="123" t="s">
        <v>29</v>
      </c>
      <c r="C33" s="135">
        <f>'Program 10'!C34+'Program 90'!C34</f>
        <v>5567354.5999999996</v>
      </c>
      <c r="D33" s="124">
        <f>'Program 10'!B34+'Program 90'!B34</f>
        <v>58.4</v>
      </c>
      <c r="F33" s="136">
        <f t="shared" si="0"/>
        <v>95331.414383561641</v>
      </c>
      <c r="G33" s="125"/>
    </row>
    <row r="34" spans="1:7" ht="18.600000000000001" customHeight="1" x14ac:dyDescent="0.3">
      <c r="A34" s="123" t="s">
        <v>30</v>
      </c>
      <c r="C34" s="135">
        <f>'Program 10'!C35+'Program 90'!C35</f>
        <v>3582048.7490326618</v>
      </c>
      <c r="D34" s="124">
        <f>'Program 10'!B35+'Program 90'!B35</f>
        <v>48.03</v>
      </c>
      <c r="F34" s="136">
        <f t="shared" si="0"/>
        <v>74579.403477673579</v>
      </c>
      <c r="G34" s="125"/>
    </row>
    <row r="35" spans="1:7" ht="18.600000000000001" customHeight="1" x14ac:dyDescent="0.3">
      <c r="A35" s="123" t="s">
        <v>55</v>
      </c>
      <c r="C35" s="135">
        <f>'Program 10'!C36+'Program 90'!C36</f>
        <v>125968591.71758352</v>
      </c>
      <c r="D35" s="124">
        <f>'Program 10'!B36+'Program 90'!B36</f>
        <v>1328.5399999999993</v>
      </c>
      <c r="F35" s="136">
        <f t="shared" si="0"/>
        <v>94817.312024917264</v>
      </c>
      <c r="G35" s="125"/>
    </row>
    <row r="36" spans="1:7" ht="18.600000000000001" customHeight="1" x14ac:dyDescent="0.3">
      <c r="A36" s="123" t="s">
        <v>31</v>
      </c>
      <c r="C36" s="135">
        <f>'Program 10'!C37+'Program 90'!C37</f>
        <v>13693349.84945</v>
      </c>
      <c r="D36" s="124">
        <f>'Program 10'!B37+'Program 90'!B37</f>
        <v>150.5</v>
      </c>
      <c r="F36" s="136">
        <f t="shared" si="0"/>
        <v>90985.713285382051</v>
      </c>
      <c r="G36" s="125"/>
    </row>
    <row r="37" spans="1:7" ht="18.600000000000001" customHeight="1" x14ac:dyDescent="0.3">
      <c r="A37" s="123" t="s">
        <v>15</v>
      </c>
      <c r="C37" s="135">
        <f>'Program 10'!C38+'Program 90'!C38</f>
        <v>579531.24</v>
      </c>
      <c r="D37" s="124">
        <f>'Program 10'!B38+'Program 90'!B38</f>
        <v>7.4499999999999993</v>
      </c>
      <c r="F37" s="136">
        <f t="shared" si="0"/>
        <v>77789.428187919475</v>
      </c>
      <c r="G37" s="125"/>
    </row>
    <row r="38" spans="1:7" ht="18.600000000000001" customHeight="1" x14ac:dyDescent="0.3">
      <c r="A38" s="123" t="s">
        <v>56</v>
      </c>
      <c r="C38" s="135">
        <f>'Program 10'!C39+'Program 90'!C39</f>
        <v>81036709.528999969</v>
      </c>
      <c r="D38" s="124">
        <f>'Program 10'!B39+'Program 90'!B39</f>
        <v>871.54</v>
      </c>
      <c r="F38" s="136">
        <f t="shared" si="0"/>
        <v>92981.055980218895</v>
      </c>
      <c r="G38" s="125"/>
    </row>
    <row r="39" spans="1:7" ht="18.600000000000001" customHeight="1" x14ac:dyDescent="0.3">
      <c r="A39" s="123" t="s">
        <v>57</v>
      </c>
      <c r="C39" s="135">
        <f>'Program 10'!C40+'Program 90'!C40</f>
        <v>64408928.988089159</v>
      </c>
      <c r="D39" s="124">
        <f>'Program 10'!B40+'Program 90'!B40</f>
        <v>651.85</v>
      </c>
      <c r="F39" s="136">
        <f t="shared" si="0"/>
        <v>98809.433133526356</v>
      </c>
      <c r="G39" s="125"/>
    </row>
    <row r="40" spans="1:7" ht="18.600000000000001" customHeight="1" x14ac:dyDescent="0.3">
      <c r="A40" s="123" t="s">
        <v>16</v>
      </c>
      <c r="C40" s="135">
        <f>'Program 10'!C41+'Program 90'!C41</f>
        <v>2740930.06</v>
      </c>
      <c r="D40" s="124">
        <f>'Program 10'!B41+'Program 90'!B41</f>
        <v>31.7</v>
      </c>
      <c r="F40" s="136">
        <f t="shared" si="0"/>
        <v>86464.670662460572</v>
      </c>
      <c r="G40" s="125"/>
    </row>
    <row r="41" spans="1:7" ht="18.600000000000001" customHeight="1" x14ac:dyDescent="0.3">
      <c r="A41" s="123" t="s">
        <v>58</v>
      </c>
      <c r="C41" s="135">
        <f>'Program 10'!C42+'Program 90'!C42</f>
        <v>90561446.485599756</v>
      </c>
      <c r="D41" s="124">
        <f>'Program 10'!B42+'Program 90'!B42</f>
        <v>1032.8200000000002</v>
      </c>
      <c r="F41" s="136">
        <f t="shared" si="0"/>
        <v>87683.668485892747</v>
      </c>
      <c r="G41" s="125"/>
    </row>
    <row r="42" spans="1:7" ht="18.600000000000001" customHeight="1" x14ac:dyDescent="0.3">
      <c r="A42" s="123" t="s">
        <v>59</v>
      </c>
      <c r="C42" s="135">
        <f>'Program 10'!C43+'Program 90'!C43</f>
        <v>92844454.708000168</v>
      </c>
      <c r="D42" s="124">
        <f>'Program 10'!B43+'Program 90'!B43</f>
        <v>1048.107</v>
      </c>
      <c r="F42" s="136">
        <f t="shared" si="0"/>
        <v>88582.992679182731</v>
      </c>
      <c r="G42" s="125"/>
    </row>
    <row r="43" spans="1:7" ht="18.600000000000001" customHeight="1" x14ac:dyDescent="0.3">
      <c r="A43" s="123" t="s">
        <v>60</v>
      </c>
      <c r="C43" s="135">
        <f>'Program 10'!C44+'Program 90'!C44</f>
        <v>44601058.032619134</v>
      </c>
      <c r="D43" s="124">
        <f>'Program 10'!B44+'Program 90'!B44</f>
        <v>424.9</v>
      </c>
      <c r="F43" s="136">
        <f t="shared" si="0"/>
        <v>104968.36439778568</v>
      </c>
      <c r="G43" s="125"/>
    </row>
    <row r="44" spans="1:7" ht="18.600000000000001" customHeight="1" x14ac:dyDescent="0.3">
      <c r="A44" s="123" t="s">
        <v>45</v>
      </c>
      <c r="C44" s="135">
        <f>'Program 10'!C45+'Program 90'!C45</f>
        <v>27698801.206499998</v>
      </c>
      <c r="D44" s="124">
        <f>'Program 10'!B45+'Program 90'!B45</f>
        <v>339.04999999999995</v>
      </c>
      <c r="F44" s="136">
        <f t="shared" si="0"/>
        <v>81695.328731750487</v>
      </c>
      <c r="G44" s="125"/>
    </row>
    <row r="45" spans="1:7" ht="18.600000000000001" customHeight="1" x14ac:dyDescent="0.3">
      <c r="A45" s="123" t="s">
        <v>32</v>
      </c>
      <c r="C45" s="135">
        <f>'Program 10'!C46+'Program 90'!C46</f>
        <v>10194740.139999997</v>
      </c>
      <c r="D45" s="124">
        <f>'Program 10'!B46+'Program 90'!B46</f>
        <v>111.60000000000001</v>
      </c>
      <c r="F45" s="136">
        <f t="shared" si="0"/>
        <v>91350.718100358383</v>
      </c>
      <c r="G45" s="125"/>
    </row>
    <row r="46" spans="1:7" ht="18.600000000000001" customHeight="1" x14ac:dyDescent="0.3">
      <c r="A46" s="123" t="s">
        <v>46</v>
      </c>
      <c r="C46" s="135">
        <f>'Program 10'!C47+'Program 90'!C47</f>
        <v>27189452.05419609</v>
      </c>
      <c r="D46" s="124">
        <f>'Program 10'!B47+'Program 90'!B47</f>
        <v>251.19999999999996</v>
      </c>
      <c r="F46" s="136">
        <f t="shared" si="0"/>
        <v>108238.26454695898</v>
      </c>
      <c r="G46" s="125"/>
    </row>
    <row r="47" spans="1:7" ht="18.600000000000001" customHeight="1" x14ac:dyDescent="0.3">
      <c r="A47" s="123" t="s">
        <v>47</v>
      </c>
      <c r="C47" s="135">
        <f>'Program 10'!C48+'Program 90'!C48</f>
        <v>16944335.948500019</v>
      </c>
      <c r="D47" s="124">
        <f>'Program 10'!B48+'Program 90'!B48</f>
        <v>200.99999999999997</v>
      </c>
      <c r="F47" s="136">
        <f t="shared" si="0"/>
        <v>84300.178848258816</v>
      </c>
      <c r="G47" s="125"/>
    </row>
    <row r="48" spans="1:7" ht="18.600000000000001" customHeight="1" x14ac:dyDescent="0.3">
      <c r="A48" s="123" t="s">
        <v>61</v>
      </c>
      <c r="C48" s="135">
        <f>'Program 10'!C49+'Program 90'!C49</f>
        <v>50915867.734275758</v>
      </c>
      <c r="D48" s="124">
        <f>'Program 10'!B49+'Program 90'!B49</f>
        <v>465.20000000000027</v>
      </c>
      <c r="F48" s="136">
        <f t="shared" si="0"/>
        <v>109449.41473404069</v>
      </c>
      <c r="G48" s="125"/>
    </row>
    <row r="49" spans="1:7" ht="18.600000000000001" customHeight="1" x14ac:dyDescent="0.3">
      <c r="A49" s="123" t="s">
        <v>33</v>
      </c>
      <c r="C49" s="135">
        <f>'Program 10'!C50+'Program 90'!C50</f>
        <v>9387195.2900000028</v>
      </c>
      <c r="D49" s="124">
        <f>'Program 10'!B50+'Program 90'!B50</f>
        <v>101.40000000000002</v>
      </c>
      <c r="F49" s="136">
        <f t="shared" si="0"/>
        <v>92575.890433925058</v>
      </c>
      <c r="G49" s="125"/>
    </row>
    <row r="50" spans="1:7" ht="18.600000000000001" customHeight="1" x14ac:dyDescent="0.3">
      <c r="A50" s="123" t="s">
        <v>34</v>
      </c>
      <c r="C50" s="135">
        <f>'Program 10'!C51+'Program 90'!C51</f>
        <v>9168801.6565000005</v>
      </c>
      <c r="D50" s="124">
        <f>'Program 10'!B51+'Program 90'!B51</f>
        <v>121.44999999999997</v>
      </c>
      <c r="F50" s="136">
        <f t="shared" si="0"/>
        <v>75494.455796624141</v>
      </c>
      <c r="G50" s="125"/>
    </row>
    <row r="51" spans="1:7" ht="18.600000000000001" customHeight="1" x14ac:dyDescent="0.3">
      <c r="A51" s="123" t="s">
        <v>17</v>
      </c>
      <c r="C51" s="135">
        <f>'Program 10'!C52+'Program 90'!C52</f>
        <v>272170.62150000001</v>
      </c>
      <c r="D51" s="124">
        <f>'Program 10'!B52+'Program 90'!B52</f>
        <v>3.9000000000000004</v>
      </c>
      <c r="F51" s="136">
        <f t="shared" si="0"/>
        <v>69787.338846153842</v>
      </c>
      <c r="G51" s="125"/>
    </row>
    <row r="52" spans="1:7" ht="18.600000000000001" customHeight="1" x14ac:dyDescent="0.3">
      <c r="A52" s="123" t="s">
        <v>35</v>
      </c>
      <c r="C52" s="135">
        <f>'Program 10'!C53+'Program 90'!C53</f>
        <v>2111185.2474999996</v>
      </c>
      <c r="D52" s="124">
        <f>'Program 10'!B53+'Program 90'!B53</f>
        <v>23.499999999999996</v>
      </c>
      <c r="F52" s="136">
        <f t="shared" si="0"/>
        <v>89837.670106382968</v>
      </c>
      <c r="G52" s="125"/>
    </row>
    <row r="53" spans="1:7" ht="18.600000000000001" customHeight="1" x14ac:dyDescent="0.3">
      <c r="A53" s="123" t="s">
        <v>48</v>
      </c>
      <c r="C53" s="135">
        <f>'Program 10'!C54+'Program 90'!C54</f>
        <v>17149943.006150596</v>
      </c>
      <c r="D53" s="124">
        <f>'Program 10'!B54+'Program 90'!B54</f>
        <v>195.79999999999998</v>
      </c>
      <c r="F53" s="136">
        <f t="shared" si="0"/>
        <v>87589.085833251258</v>
      </c>
      <c r="G53" s="125"/>
    </row>
    <row r="54" spans="1:7" ht="18.600000000000001" customHeight="1" x14ac:dyDescent="0.3">
      <c r="A54" s="123" t="s">
        <v>49</v>
      </c>
      <c r="C54" s="135">
        <f>'Program 10'!C55+'Program 90'!C55</f>
        <v>14534376.043687997</v>
      </c>
      <c r="D54" s="124">
        <f>'Program 10'!B55+'Program 90'!B55</f>
        <v>159.49</v>
      </c>
      <c r="F54" s="136">
        <f t="shared" si="0"/>
        <v>91130.328194168891</v>
      </c>
      <c r="G54" s="125"/>
    </row>
    <row r="55" spans="1:7" ht="18.600000000000001" customHeight="1" x14ac:dyDescent="0.3">
      <c r="A55" s="123" t="s">
        <v>50</v>
      </c>
      <c r="C55" s="135">
        <f>'Program 10'!C56+'Program 90'!C56</f>
        <v>18180726.914846156</v>
      </c>
      <c r="D55" s="124">
        <f>'Program 10'!B56+'Program 90'!B56</f>
        <v>228.75</v>
      </c>
      <c r="F55" s="136">
        <f t="shared" si="0"/>
        <v>79478.587605884837</v>
      </c>
      <c r="G55" s="125"/>
    </row>
    <row r="56" spans="1:7" ht="18.600000000000001" customHeight="1" x14ac:dyDescent="0.3">
      <c r="A56" s="123" t="s">
        <v>36</v>
      </c>
      <c r="C56" s="135">
        <f>'Program 10'!C57+'Program 90'!C57</f>
        <v>3913650.639</v>
      </c>
      <c r="D56" s="124">
        <f>'Program 10'!B57+'Program 90'!B57</f>
        <v>52.3</v>
      </c>
      <c r="F56" s="136">
        <f t="shared" si="0"/>
        <v>74830.796156787765</v>
      </c>
      <c r="G56" s="125"/>
    </row>
    <row r="57" spans="1:7" ht="18.600000000000001" customHeight="1" x14ac:dyDescent="0.3">
      <c r="A57" s="123" t="s">
        <v>37</v>
      </c>
      <c r="C57" s="135">
        <f>'Program 10'!C58+'Program 90'!C58</f>
        <v>2751808.87</v>
      </c>
      <c r="D57" s="124">
        <f>'Program 10'!B58+'Program 90'!B58</f>
        <v>38.300000000000011</v>
      </c>
      <c r="F57" s="136">
        <f t="shared" si="0"/>
        <v>71848.795561357678</v>
      </c>
      <c r="G57" s="125"/>
    </row>
    <row r="58" spans="1:7" ht="18.600000000000001" customHeight="1" x14ac:dyDescent="0.3">
      <c r="A58" s="123" t="s">
        <v>18</v>
      </c>
      <c r="C58" s="135">
        <f>'Program 10'!C59+'Program 90'!C59</f>
        <v>466249.81962500006</v>
      </c>
      <c r="D58" s="124">
        <f>'Program 10'!B59+'Program 90'!B59</f>
        <v>6.9200000000000008</v>
      </c>
      <c r="F58" s="136">
        <f t="shared" si="0"/>
        <v>67377.141564306366</v>
      </c>
      <c r="G58" s="125"/>
    </row>
    <row r="59" spans="1:7" ht="18.600000000000001" customHeight="1" x14ac:dyDescent="0.3">
      <c r="A59" s="123" t="s">
        <v>51</v>
      </c>
      <c r="C59" s="135">
        <f>'Program 10'!C60+'Program 90'!C60</f>
        <v>18706238.356999982</v>
      </c>
      <c r="D59" s="124">
        <f>'Program 10'!B60+'Program 90'!B60</f>
        <v>248.75</v>
      </c>
      <c r="F59" s="136">
        <f t="shared" si="0"/>
        <v>75200.95821909541</v>
      </c>
      <c r="G59" s="125"/>
    </row>
    <row r="60" spans="1:7" ht="18.600000000000001" customHeight="1" x14ac:dyDescent="0.3">
      <c r="A60" s="123" t="s">
        <v>38</v>
      </c>
      <c r="C60" s="135">
        <f>'Program 10'!C61+'Program 90'!C61</f>
        <v>2833693.6599999997</v>
      </c>
      <c r="D60" s="124">
        <f>'Program 10'!B61+'Program 90'!B61</f>
        <v>37</v>
      </c>
      <c r="F60" s="136">
        <f t="shared" si="0"/>
        <v>76586.315135135126</v>
      </c>
      <c r="G60" s="125"/>
    </row>
    <row r="61" spans="1:7" ht="18.600000000000001" customHeight="1" x14ac:dyDescent="0.3">
      <c r="A61" s="123" t="s">
        <v>52</v>
      </c>
      <c r="C61" s="135">
        <f>'Program 10'!C62+'Program 90'!C62</f>
        <v>25302112.896300007</v>
      </c>
      <c r="D61" s="124">
        <f>'Program 10'!B62+'Program 90'!B62</f>
        <v>276.63</v>
      </c>
      <c r="F61" s="136">
        <f t="shared" si="0"/>
        <v>91465.542046415809</v>
      </c>
      <c r="G61" s="125"/>
    </row>
    <row r="62" spans="1:7" ht="18.600000000000001" customHeight="1" x14ac:dyDescent="0.3">
      <c r="A62" s="123" t="s">
        <v>39</v>
      </c>
      <c r="C62" s="135">
        <f>'Program 10'!C63+'Program 90'!C63</f>
        <v>8261488.4050000021</v>
      </c>
      <c r="D62" s="124">
        <f>'Program 10'!B63+'Program 90'!B63</f>
        <v>99.75</v>
      </c>
      <c r="F62" s="136">
        <f t="shared" si="0"/>
        <v>82821.938897243133</v>
      </c>
      <c r="G62" s="125"/>
    </row>
    <row r="63" spans="1:7" ht="18.600000000000001" customHeight="1" x14ac:dyDescent="0.3">
      <c r="A63" s="123" t="s">
        <v>40</v>
      </c>
      <c r="C63" s="135">
        <f>'Program 10'!C64+'Program 90'!C64</f>
        <v>3436005.85</v>
      </c>
      <c r="D63" s="124">
        <f>'Program 10'!B64+'Program 90'!B64</f>
        <v>45.550000000000018</v>
      </c>
      <c r="F63" s="136">
        <f t="shared" si="0"/>
        <v>75433.717892425877</v>
      </c>
      <c r="G63" s="125"/>
    </row>
    <row r="64" spans="1:7" ht="18.600000000000001" customHeight="1" thickBot="1" x14ac:dyDescent="0.35">
      <c r="A64" s="137" t="s">
        <v>174</v>
      </c>
      <c r="C64" s="138">
        <f>SUM(C6:C63)</f>
        <v>1434479223.0662806</v>
      </c>
      <c r="D64" s="139">
        <f>SUM(D6:D63)</f>
        <v>15779.727299999995</v>
      </c>
      <c r="F64" s="138">
        <f>C64/D64</f>
        <v>90906.464718581105</v>
      </c>
    </row>
    <row r="65" spans="1:8" ht="18.600000000000001" customHeight="1" thickTop="1" x14ac:dyDescent="0.3">
      <c r="C65" s="126"/>
      <c r="D65" s="126"/>
      <c r="F65" s="126"/>
    </row>
    <row r="66" spans="1:8" ht="18.600000000000001" customHeight="1" x14ac:dyDescent="0.3">
      <c r="A66" s="283" t="s">
        <v>80</v>
      </c>
      <c r="B66" s="283"/>
      <c r="C66" s="283"/>
      <c r="D66" s="283"/>
      <c r="E66" s="131"/>
      <c r="F66" s="148">
        <f>AVERAGE(F6:F63)</f>
        <v>81750.412305958831</v>
      </c>
    </row>
    <row r="67" spans="1:8" ht="18.600000000000001" customHeight="1" x14ac:dyDescent="0.3">
      <c r="A67" s="131"/>
      <c r="C67" s="131"/>
      <c r="D67" s="131"/>
      <c r="F67" s="127"/>
    </row>
    <row r="68" spans="1:8" ht="18.600000000000001" customHeight="1" x14ac:dyDescent="0.3">
      <c r="A68" s="132" t="s">
        <v>239</v>
      </c>
      <c r="F68" s="128"/>
    </row>
    <row r="69" spans="1:8" ht="53.7" customHeight="1" x14ac:dyDescent="0.3">
      <c r="A69" s="286" t="s">
        <v>172</v>
      </c>
      <c r="B69" s="286"/>
      <c r="C69" s="286"/>
      <c r="D69" s="286"/>
      <c r="E69" s="286"/>
      <c r="F69" s="286"/>
      <c r="G69" s="286"/>
      <c r="H69" s="286"/>
    </row>
    <row r="70" spans="1:8" x14ac:dyDescent="0.3">
      <c r="C70" s="129"/>
      <c r="F70" s="130"/>
    </row>
  </sheetData>
  <mergeCells count="3">
    <mergeCell ref="A66:D66"/>
    <mergeCell ref="A4:A5"/>
    <mergeCell ref="A69:H69"/>
  </mergeCells>
  <printOptions horizontalCentered="1"/>
  <pageMargins left="0.45" right="0.45" top="0.5" bottom="0.25" header="0.3" footer="0.3"/>
  <pageSetup scale="5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dimension ref="A1:K67"/>
  <sheetViews>
    <sheetView zoomScaleNormal="100" workbookViewId="0">
      <pane xSplit="2" ySplit="5" topLeftCell="C33" activePane="bottomRight" state="frozen"/>
      <selection sqref="A1:XFD1048576"/>
      <selection pane="topRight" sqref="A1:XFD1048576"/>
      <selection pane="bottomLeft" sqref="A1:XFD1048576"/>
      <selection pane="bottomRight"/>
    </sheetView>
  </sheetViews>
  <sheetFormatPr defaultColWidth="9.21875" defaultRowHeight="14.4" x14ac:dyDescent="0.3"/>
  <cols>
    <col min="1" max="1" width="8.21875" style="198" customWidth="1"/>
    <col min="2" max="2" width="14.5546875" style="198" customWidth="1"/>
    <col min="3" max="3" width="14" style="198" customWidth="1"/>
    <col min="4" max="4" width="14.21875" style="198" customWidth="1"/>
    <col min="5" max="5" width="12.5546875" style="198" customWidth="1"/>
    <col min="6" max="6" width="14.21875" style="216" customWidth="1"/>
    <col min="7" max="7" width="16.21875" style="216" customWidth="1"/>
    <col min="8" max="8" width="13.21875" style="217" customWidth="1"/>
    <col min="9" max="10" width="0.77734375" style="198" customWidth="1"/>
    <col min="11" max="11" width="8.77734375" style="199" bestFit="1" customWidth="1"/>
    <col min="12" max="16384" width="9.21875" style="198"/>
  </cols>
  <sheetData>
    <row r="1" spans="1:11" ht="18" x14ac:dyDescent="0.3">
      <c r="A1" s="210" t="s">
        <v>184</v>
      </c>
      <c r="B1" s="133"/>
      <c r="C1" s="133"/>
      <c r="D1" s="133"/>
      <c r="E1" s="133"/>
      <c r="F1" s="213"/>
      <c r="G1" s="213"/>
      <c r="H1" s="133"/>
    </row>
    <row r="2" spans="1:11" x14ac:dyDescent="0.3">
      <c r="A2" s="49"/>
      <c r="B2" s="133"/>
      <c r="C2" s="133"/>
      <c r="D2" s="133"/>
      <c r="E2" s="133"/>
      <c r="F2" s="213"/>
      <c r="G2" s="213"/>
      <c r="H2" s="133"/>
    </row>
    <row r="3" spans="1:11" x14ac:dyDescent="0.3">
      <c r="A3" s="200"/>
      <c r="B3" s="200"/>
      <c r="C3" s="200"/>
      <c r="D3" s="200"/>
      <c r="E3" s="200"/>
      <c r="F3" s="214"/>
      <c r="G3" s="214"/>
      <c r="H3" s="200"/>
    </row>
    <row r="4" spans="1:11" ht="69" x14ac:dyDescent="0.3">
      <c r="A4" s="287" t="s">
        <v>68</v>
      </c>
      <c r="B4" s="287" t="s">
        <v>63</v>
      </c>
      <c r="C4" s="219" t="s">
        <v>204</v>
      </c>
      <c r="D4" s="201" t="str">
        <f>"FTE Dollar Factor Applied ("&amp;TEXT('AVG RAS salary'!F66,"$##,###")&amp;" * BLS)"</f>
        <v>FTE Dollar Factor Applied ($81,750 * BLS)</v>
      </c>
      <c r="E4" s="201" t="s">
        <v>205</v>
      </c>
      <c r="F4" s="201" t="s">
        <v>98</v>
      </c>
      <c r="G4" s="219" t="str">
        <f>"Has FTE Need &lt;50 AND FTE Dollar Factor is Less Than Median of "&amp;TEXT(D67,"$##,###")&amp;"?"</f>
        <v>Has FTE Need &lt;50 AND FTE Dollar Factor is Less Than Median of $62,314?</v>
      </c>
      <c r="H4" s="74" t="s">
        <v>69</v>
      </c>
      <c r="K4" s="199" t="s">
        <v>81</v>
      </c>
    </row>
    <row r="5" spans="1:11" x14ac:dyDescent="0.3">
      <c r="A5" s="288"/>
      <c r="B5" s="288"/>
      <c r="C5" s="78" t="s">
        <v>65</v>
      </c>
      <c r="D5" s="78" t="s">
        <v>1</v>
      </c>
      <c r="E5" s="78" t="s">
        <v>66</v>
      </c>
      <c r="F5" s="78" t="s">
        <v>2</v>
      </c>
      <c r="G5" s="78" t="s">
        <v>3</v>
      </c>
      <c r="H5" s="78" t="s">
        <v>93</v>
      </c>
    </row>
    <row r="6" spans="1:11" x14ac:dyDescent="0.3">
      <c r="A6" s="211">
        <v>4</v>
      </c>
      <c r="B6" s="202" t="s">
        <v>53</v>
      </c>
      <c r="C6" s="149">
        <f>VLOOKUP(B6,BLS!$B$7:$I$64,8,FALSE)</f>
        <v>1.4797787666320801</v>
      </c>
      <c r="D6" s="135">
        <f>C6*'AVG RAS salary'!$F$66</f>
        <v>120972.52429377579</v>
      </c>
      <c r="E6" s="212">
        <f>VLOOKUP(B6,'WF Need'!B7:F64,5,FALSE)</f>
        <v>629</v>
      </c>
      <c r="F6" s="215" t="str">
        <f t="shared" ref="F6:F63" si="0">IF(E6&lt;50,"Yes","")</f>
        <v/>
      </c>
      <c r="G6" s="215" t="str">
        <f t="shared" ref="G6:G63" si="1">IF(F6="Yes",(IF(D6&lt;$D$67,"Yes","")),"")</f>
        <v/>
      </c>
      <c r="H6" s="159">
        <f>IF(F6="Yes", IF(G6="Yes",$D$67,D6),D6)</f>
        <v>120972.52429377579</v>
      </c>
      <c r="K6" s="203" t="str">
        <f>IF(F6="Yes",D6,"")</f>
        <v/>
      </c>
    </row>
    <row r="7" spans="1:11" x14ac:dyDescent="0.3">
      <c r="A7" s="211">
        <v>1</v>
      </c>
      <c r="B7" s="202" t="s">
        <v>4</v>
      </c>
      <c r="C7" s="149">
        <f>VLOOKUP(B7,BLS!$B$7:$I$64,8,FALSE)</f>
        <v>0.75190412998199463</v>
      </c>
      <c r="D7" s="135">
        <f>C7*'AVG RAS salary'!$F$66</f>
        <v>61468.47264058132</v>
      </c>
      <c r="E7" s="212">
        <f>VLOOKUP(B7,'WF Need'!B8:F65,5,FALSE)</f>
        <v>3</v>
      </c>
      <c r="F7" s="215" t="str">
        <f t="shared" si="0"/>
        <v>Yes</v>
      </c>
      <c r="G7" s="215" t="str">
        <f t="shared" si="1"/>
        <v>Yes</v>
      </c>
      <c r="H7" s="220">
        <f>IF(F7="Yes", IF(G7="Yes",$D$67,D7),D7)</f>
        <v>62314.383849994083</v>
      </c>
      <c r="K7" s="203">
        <f>IF(F7="Yes",D7,"")</f>
        <v>61468.47264058132</v>
      </c>
    </row>
    <row r="8" spans="1:11" x14ac:dyDescent="0.3">
      <c r="A8" s="211">
        <v>1</v>
      </c>
      <c r="B8" s="202" t="s">
        <v>5</v>
      </c>
      <c r="C8" s="149">
        <f>VLOOKUP(B8,BLS!$B$7:$I$64,8,FALSE)</f>
        <v>0.92748558521270752</v>
      </c>
      <c r="D8" s="135">
        <f>C8*'AVG RAS salary'!$F$66</f>
        <v>75822.328998972356</v>
      </c>
      <c r="E8" s="212">
        <f>VLOOKUP(B8,'WF Need'!B9:F66,5,FALSE)</f>
        <v>36</v>
      </c>
      <c r="F8" s="215" t="str">
        <f t="shared" si="0"/>
        <v>Yes</v>
      </c>
      <c r="G8" s="215" t="str">
        <f t="shared" si="1"/>
        <v/>
      </c>
      <c r="H8" s="220">
        <f t="shared" ref="H8:H63" si="2">IF(F8="Yes", IF(G8="Yes",$D$67,D8),D8)</f>
        <v>75822.328998972356</v>
      </c>
      <c r="K8" s="203">
        <f t="shared" ref="K8:K62" si="3">IF(F8="Yes",D8,"")</f>
        <v>75822.328998972356</v>
      </c>
    </row>
    <row r="9" spans="1:11" x14ac:dyDescent="0.3">
      <c r="A9" s="211">
        <v>2</v>
      </c>
      <c r="B9" s="202" t="s">
        <v>19</v>
      </c>
      <c r="C9" s="149">
        <f>VLOOKUP(B9,BLS!$B$7:$I$64,8,FALSE)</f>
        <v>0.86910712718963623</v>
      </c>
      <c r="D9" s="135">
        <f>C9*'AVG RAS salary'!$F$66</f>
        <v>71049.865985800163</v>
      </c>
      <c r="E9" s="212">
        <f>VLOOKUP(B9,'WF Need'!B10:F67,5,FALSE)</f>
        <v>128</v>
      </c>
      <c r="F9" s="215" t="str">
        <f t="shared" si="0"/>
        <v/>
      </c>
      <c r="G9" s="215" t="str">
        <f t="shared" si="1"/>
        <v/>
      </c>
      <c r="H9" s="220">
        <f t="shared" si="2"/>
        <v>71049.865985800163</v>
      </c>
      <c r="K9" s="203" t="str">
        <f t="shared" si="3"/>
        <v/>
      </c>
    </row>
    <row r="10" spans="1:11" x14ac:dyDescent="0.3">
      <c r="A10" s="211">
        <v>1</v>
      </c>
      <c r="B10" s="202" t="s">
        <v>6</v>
      </c>
      <c r="C10" s="149">
        <f>VLOOKUP(B10,BLS!$B$7:$I$64,8,FALSE)</f>
        <v>0.86235398054122925</v>
      </c>
      <c r="D10" s="135">
        <f>C10*'AVG RAS salary'!$F$66</f>
        <v>70497.793462930291</v>
      </c>
      <c r="E10" s="212">
        <f>VLOOKUP(B10,'WF Need'!B11:F68,5,FALSE)</f>
        <v>28</v>
      </c>
      <c r="F10" s="215" t="str">
        <f t="shared" si="0"/>
        <v>Yes</v>
      </c>
      <c r="G10" s="215" t="str">
        <f t="shared" si="1"/>
        <v/>
      </c>
      <c r="H10" s="220">
        <f t="shared" si="2"/>
        <v>70497.793462930291</v>
      </c>
      <c r="K10" s="203">
        <f t="shared" si="3"/>
        <v>70497.793462930291</v>
      </c>
    </row>
    <row r="11" spans="1:11" x14ac:dyDescent="0.3">
      <c r="A11" s="211">
        <v>1</v>
      </c>
      <c r="B11" s="202" t="s">
        <v>7</v>
      </c>
      <c r="C11" s="149">
        <f>VLOOKUP(B11,BLS!$B$7:$I$64,8,FALSE)</f>
        <v>0.75406444072723389</v>
      </c>
      <c r="D11" s="135">
        <f>C11*'AVG RAS salary'!$F$66</f>
        <v>61645.078934713623</v>
      </c>
      <c r="E11" s="212">
        <f>VLOOKUP(B11,'WF Need'!B12:F70,5,FALSE)</f>
        <v>19</v>
      </c>
      <c r="F11" s="215" t="str">
        <f t="shared" si="0"/>
        <v>Yes</v>
      </c>
      <c r="G11" s="215" t="str">
        <f t="shared" si="1"/>
        <v>Yes</v>
      </c>
      <c r="H11" s="220">
        <f>IF(F11="Yes", IF(G11="Yes",$D$67,D11),D11)</f>
        <v>62314.383849994083</v>
      </c>
      <c r="K11" s="203">
        <f t="shared" si="3"/>
        <v>61645.078934713623</v>
      </c>
    </row>
    <row r="12" spans="1:11" x14ac:dyDescent="0.3">
      <c r="A12" s="211">
        <v>3</v>
      </c>
      <c r="B12" s="202" t="s">
        <v>41</v>
      </c>
      <c r="C12" s="149">
        <f>VLOOKUP(B12,BLS!$B$7:$I$64,8,FALSE)</f>
        <v>1.3127007484436035</v>
      </c>
      <c r="D12" s="135">
        <f>C12*'AVG RAS salary'!$F$66</f>
        <v>107313.82741960534</v>
      </c>
      <c r="E12" s="212">
        <f>VLOOKUP(B12,'WF Need'!B13:F72,5,FALSE)</f>
        <v>395</v>
      </c>
      <c r="F12" s="215" t="str">
        <f t="shared" si="0"/>
        <v/>
      </c>
      <c r="G12" s="215" t="str">
        <f t="shared" si="1"/>
        <v/>
      </c>
      <c r="H12" s="220">
        <f t="shared" si="2"/>
        <v>107313.82741960534</v>
      </c>
      <c r="K12" s="203" t="str">
        <f t="shared" si="3"/>
        <v/>
      </c>
    </row>
    <row r="13" spans="1:11" x14ac:dyDescent="0.3">
      <c r="A13" s="211">
        <v>1</v>
      </c>
      <c r="B13" s="202" t="s">
        <v>8</v>
      </c>
      <c r="C13" s="149">
        <f>VLOOKUP(B13,BLS!$B$7:$I$64,8,FALSE)</f>
        <v>0.75181841850280762</v>
      </c>
      <c r="D13" s="135">
        <f>C13*'AVG RAS salary'!$F$66</f>
        <v>61461.465691818434</v>
      </c>
      <c r="E13" s="212">
        <f>VLOOKUP(B13,'WF Need'!B14:F72,5,FALSE)</f>
        <v>30</v>
      </c>
      <c r="F13" s="215" t="str">
        <f t="shared" si="0"/>
        <v>Yes</v>
      </c>
      <c r="G13" s="215" t="str">
        <f t="shared" si="1"/>
        <v>Yes</v>
      </c>
      <c r="H13" s="220">
        <f t="shared" si="2"/>
        <v>62314.383849994083</v>
      </c>
      <c r="K13" s="203">
        <f t="shared" si="3"/>
        <v>61461.465691818434</v>
      </c>
    </row>
    <row r="14" spans="1:11" x14ac:dyDescent="0.3">
      <c r="A14" s="211">
        <v>2</v>
      </c>
      <c r="B14" s="202" t="s">
        <v>20</v>
      </c>
      <c r="C14" s="149">
        <f>VLOOKUP(B14,BLS!$B$7:$I$64,8,FALSE)</f>
        <v>1.1307181119918823</v>
      </c>
      <c r="D14" s="135">
        <f>C14*'AVG RAS salary'!$F$66</f>
        <v>92436.671857151712</v>
      </c>
      <c r="E14" s="212">
        <f>VLOOKUP(B14,'WF Need'!B15:F72,5,FALSE)</f>
        <v>87</v>
      </c>
      <c r="F14" s="215" t="str">
        <f t="shared" si="0"/>
        <v/>
      </c>
      <c r="G14" s="215" t="str">
        <f t="shared" si="1"/>
        <v/>
      </c>
      <c r="H14" s="220">
        <f t="shared" si="2"/>
        <v>92436.671857151712</v>
      </c>
      <c r="K14" s="203" t="str">
        <f t="shared" si="3"/>
        <v/>
      </c>
    </row>
    <row r="15" spans="1:11" x14ac:dyDescent="0.3">
      <c r="A15" s="211">
        <v>3</v>
      </c>
      <c r="B15" s="202" t="s">
        <v>42</v>
      </c>
      <c r="C15" s="149">
        <f>VLOOKUP(B15,BLS!$B$7:$I$64,8,FALSE)</f>
        <v>0.95337182283401489</v>
      </c>
      <c r="D15" s="135">
        <f>C15*'AVG RAS salary'!$F$66</f>
        <v>77938.53959756426</v>
      </c>
      <c r="E15" s="212">
        <f>VLOOKUP(B15,'WF Need'!B16:F73,5,FALSE)</f>
        <v>607</v>
      </c>
      <c r="F15" s="215" t="str">
        <f t="shared" si="0"/>
        <v/>
      </c>
      <c r="G15" s="215" t="str">
        <f t="shared" si="1"/>
        <v/>
      </c>
      <c r="H15" s="220">
        <f t="shared" si="2"/>
        <v>77938.53959756426</v>
      </c>
      <c r="K15" s="203" t="str">
        <f t="shared" si="3"/>
        <v/>
      </c>
    </row>
    <row r="16" spans="1:11" x14ac:dyDescent="0.3">
      <c r="A16" s="211">
        <v>1</v>
      </c>
      <c r="B16" s="202" t="s">
        <v>9</v>
      </c>
      <c r="C16" s="149">
        <f>VLOOKUP(B16,BLS!$B$7:$I$64,8,FALSE)</f>
        <v>0.75637280941009521</v>
      </c>
      <c r="D16" s="135">
        <f>C16*'AVG RAS salary'!$F$66</f>
        <v>61833.789026291699</v>
      </c>
      <c r="E16" s="212">
        <f>VLOOKUP(B16,'WF Need'!B17:F74,5,FALSE)</f>
        <v>26</v>
      </c>
      <c r="F16" s="215" t="str">
        <f t="shared" si="0"/>
        <v>Yes</v>
      </c>
      <c r="G16" s="215" t="str">
        <f t="shared" si="1"/>
        <v>Yes</v>
      </c>
      <c r="H16" s="220">
        <f t="shared" si="2"/>
        <v>62314.383849994083</v>
      </c>
      <c r="K16" s="203">
        <f t="shared" si="3"/>
        <v>61833.789026291699</v>
      </c>
    </row>
    <row r="17" spans="1:11" x14ac:dyDescent="0.3">
      <c r="A17" s="211">
        <v>2</v>
      </c>
      <c r="B17" s="202" t="s">
        <v>21</v>
      </c>
      <c r="C17" s="149">
        <f>VLOOKUP(B17,BLS!$B$7:$I$64,8,FALSE)</f>
        <v>0.74337166547775269</v>
      </c>
      <c r="D17" s="135">
        <f>C17*'AVG RAS salary'!$F$66</f>
        <v>60770.940149373586</v>
      </c>
      <c r="E17" s="212">
        <f>VLOOKUP(B17,'WF Need'!B18:F75,5,FALSE)</f>
        <v>94</v>
      </c>
      <c r="F17" s="215" t="str">
        <f t="shared" si="0"/>
        <v/>
      </c>
      <c r="G17" s="215" t="str">
        <f t="shared" si="1"/>
        <v/>
      </c>
      <c r="H17" s="220">
        <f t="shared" si="2"/>
        <v>60770.940149373586</v>
      </c>
      <c r="K17" s="203" t="str">
        <f t="shared" si="3"/>
        <v/>
      </c>
    </row>
    <row r="18" spans="1:11" x14ac:dyDescent="0.3">
      <c r="A18" s="211">
        <v>2</v>
      </c>
      <c r="B18" s="202" t="s">
        <v>22</v>
      </c>
      <c r="C18" s="149">
        <f>VLOOKUP(B18,BLS!$B$7:$I$64,8,FALSE)</f>
        <v>0.69174045324325562</v>
      </c>
      <c r="D18" s="135">
        <f>C18*'AVG RAS salary'!$F$66</f>
        <v>56550.06726134698</v>
      </c>
      <c r="E18" s="212">
        <f>VLOOKUP(B18,'WF Need'!B19:F76,5,FALSE)</f>
        <v>105</v>
      </c>
      <c r="F18" s="215" t="str">
        <f t="shared" si="0"/>
        <v/>
      </c>
      <c r="G18" s="215" t="str">
        <f t="shared" si="1"/>
        <v/>
      </c>
      <c r="H18" s="220">
        <f t="shared" si="2"/>
        <v>56550.06726134698</v>
      </c>
      <c r="K18" s="203" t="str">
        <f t="shared" si="3"/>
        <v/>
      </c>
    </row>
    <row r="19" spans="1:11" x14ac:dyDescent="0.3">
      <c r="A19" s="211">
        <v>1</v>
      </c>
      <c r="B19" s="202" t="s">
        <v>10</v>
      </c>
      <c r="C19" s="149">
        <f>VLOOKUP(B19,BLS!$B$7:$I$64,8,FALSE)</f>
        <v>0.82393860816955566</v>
      </c>
      <c r="D19" s="135">
        <f>C19*'AVG RAS salary'!$F$66</f>
        <v>67357.320932659029</v>
      </c>
      <c r="E19" s="212">
        <f>VLOOKUP(B19,'WF Need'!B20:F77,5,FALSE)</f>
        <v>23</v>
      </c>
      <c r="F19" s="215" t="str">
        <f t="shared" si="0"/>
        <v>Yes</v>
      </c>
      <c r="G19" s="215" t="str">
        <f t="shared" si="1"/>
        <v/>
      </c>
      <c r="H19" s="220">
        <f t="shared" si="2"/>
        <v>67357.320932659029</v>
      </c>
      <c r="K19" s="203">
        <f t="shared" si="3"/>
        <v>67357.320932659029</v>
      </c>
    </row>
    <row r="20" spans="1:11" x14ac:dyDescent="0.3">
      <c r="A20" s="211">
        <v>3</v>
      </c>
      <c r="B20" s="202" t="s">
        <v>43</v>
      </c>
      <c r="C20" s="149">
        <f>VLOOKUP(B20,BLS!$B$7:$I$64,8,FALSE)</f>
        <v>0.93725103139877319</v>
      </c>
      <c r="D20" s="135">
        <f>C20*'AVG RAS salary'!$F$66</f>
        <v>76620.658251034882</v>
      </c>
      <c r="E20" s="212">
        <f>VLOOKUP(B20,'WF Need'!B21:F78,5,FALSE)</f>
        <v>614</v>
      </c>
      <c r="F20" s="215" t="str">
        <f t="shared" si="0"/>
        <v/>
      </c>
      <c r="G20" s="215" t="str">
        <f t="shared" si="1"/>
        <v/>
      </c>
      <c r="H20" s="220">
        <f t="shared" si="2"/>
        <v>76620.658251034882</v>
      </c>
      <c r="K20" s="203" t="str">
        <f t="shared" si="3"/>
        <v/>
      </c>
    </row>
    <row r="21" spans="1:11" x14ac:dyDescent="0.3">
      <c r="A21" s="211">
        <v>2</v>
      </c>
      <c r="B21" s="202" t="s">
        <v>23</v>
      </c>
      <c r="C21" s="149">
        <f>VLOOKUP(B21,BLS!$B$7:$I$64,8,FALSE)</f>
        <v>0.81934940814971924</v>
      </c>
      <c r="D21" s="135">
        <f>C21*'AVG RAS salary'!$F$66</f>
        <v>66982.151938882889</v>
      </c>
      <c r="E21" s="212">
        <f>VLOOKUP(B21,'WF Need'!B22:F79,5,FALSE)</f>
        <v>118</v>
      </c>
      <c r="F21" s="215" t="str">
        <f t="shared" si="0"/>
        <v/>
      </c>
      <c r="G21" s="215" t="str">
        <f t="shared" si="1"/>
        <v/>
      </c>
      <c r="H21" s="220">
        <f t="shared" si="2"/>
        <v>66982.151938882889</v>
      </c>
      <c r="K21" s="203" t="str">
        <f t="shared" si="3"/>
        <v/>
      </c>
    </row>
    <row r="22" spans="1:11" x14ac:dyDescent="0.3">
      <c r="A22" s="211">
        <v>2</v>
      </c>
      <c r="B22" s="202" t="s">
        <v>24</v>
      </c>
      <c r="C22" s="149">
        <f>VLOOKUP(B22,BLS!$B$7:$I$64,8,FALSE)</f>
        <v>0.77314198017120361</v>
      </c>
      <c r="D22" s="135">
        <f>C22*'AVG RAS salary'!$F$66</f>
        <v>63204.675650041339</v>
      </c>
      <c r="E22" s="212">
        <f>VLOOKUP(B22,'WF Need'!B23:F80,5,FALSE)</f>
        <v>67</v>
      </c>
      <c r="F22" s="215" t="str">
        <f t="shared" si="0"/>
        <v/>
      </c>
      <c r="G22" s="215" t="str">
        <f t="shared" si="1"/>
        <v/>
      </c>
      <c r="H22" s="220">
        <f t="shared" si="2"/>
        <v>63204.675650041339</v>
      </c>
      <c r="K22" s="203" t="str">
        <f t="shared" si="3"/>
        <v/>
      </c>
    </row>
    <row r="23" spans="1:11" x14ac:dyDescent="0.3">
      <c r="A23" s="211">
        <v>1</v>
      </c>
      <c r="B23" s="202" t="s">
        <v>11</v>
      </c>
      <c r="C23" s="149">
        <f>VLOOKUP(B23,BLS!$B$7:$I$64,8,FALSE)</f>
        <v>0.77902901172637939</v>
      </c>
      <c r="D23" s="135">
        <f>C23*'AVG RAS salary'!$F$66</f>
        <v>63685.942906935154</v>
      </c>
      <c r="E23" s="212">
        <f>VLOOKUP(B23,'WF Need'!B24:F81,5,FALSE)</f>
        <v>27</v>
      </c>
      <c r="F23" s="215" t="str">
        <f t="shared" si="0"/>
        <v>Yes</v>
      </c>
      <c r="G23" s="215" t="str">
        <f t="shared" si="1"/>
        <v/>
      </c>
      <c r="H23" s="220">
        <f t="shared" si="2"/>
        <v>63685.942906935154</v>
      </c>
      <c r="K23" s="203">
        <f t="shared" si="3"/>
        <v>63685.942906935154</v>
      </c>
    </row>
    <row r="24" spans="1:11" x14ac:dyDescent="0.3">
      <c r="A24" s="211">
        <v>4</v>
      </c>
      <c r="B24" s="202" t="s">
        <v>54</v>
      </c>
      <c r="C24" s="149">
        <f>VLOOKUP(B24,BLS!$B$7:$I$64,8,FALSE)</f>
        <v>1.3648638725280762</v>
      </c>
      <c r="D24" s="135">
        <f>C24*'AVG RAS salary'!$F$66</f>
        <v>111578.18432067786</v>
      </c>
      <c r="E24" s="212">
        <f>VLOOKUP(B24,'WF Need'!B25:F82,5,FALSE)</f>
        <v>4959</v>
      </c>
      <c r="F24" s="215" t="str">
        <f t="shared" si="0"/>
        <v/>
      </c>
      <c r="G24" s="215" t="str">
        <f t="shared" si="1"/>
        <v/>
      </c>
      <c r="H24" s="220">
        <f t="shared" si="2"/>
        <v>111578.18432067786</v>
      </c>
      <c r="K24" s="203" t="str">
        <f t="shared" si="3"/>
        <v/>
      </c>
    </row>
    <row r="25" spans="1:11" x14ac:dyDescent="0.3">
      <c r="A25" s="211">
        <v>2</v>
      </c>
      <c r="B25" s="202" t="s">
        <v>25</v>
      </c>
      <c r="C25" s="149">
        <f>VLOOKUP(B25,BLS!$B$7:$I$64,8,FALSE)</f>
        <v>0.87994784116744995</v>
      </c>
      <c r="D25" s="135">
        <f>C25*'AVG RAS salary'!$F$66</f>
        <v>71936.09882317741</v>
      </c>
      <c r="E25" s="212">
        <f>VLOOKUP(B25,'WF Need'!B26:F83,5,FALSE)</f>
        <v>133</v>
      </c>
      <c r="F25" s="215" t="str">
        <f t="shared" si="0"/>
        <v/>
      </c>
      <c r="G25" s="215" t="str">
        <f t="shared" si="1"/>
        <v/>
      </c>
      <c r="H25" s="220">
        <f t="shared" si="2"/>
        <v>71936.09882317741</v>
      </c>
      <c r="K25" s="203" t="str">
        <f t="shared" si="3"/>
        <v/>
      </c>
    </row>
    <row r="26" spans="1:11" x14ac:dyDescent="0.3">
      <c r="A26" s="211">
        <v>2</v>
      </c>
      <c r="B26" s="202" t="s">
        <v>26</v>
      </c>
      <c r="C26" s="149">
        <f>VLOOKUP(B26,BLS!$B$7:$I$64,8,FALSE)</f>
        <v>1.1905050277709961</v>
      </c>
      <c r="D26" s="135">
        <f>C26*'AVG RAS salary'!$F$66</f>
        <v>97324.276872595903</v>
      </c>
      <c r="E26" s="212">
        <f>VLOOKUP(B26,'WF Need'!B27:F84,5,FALSE)</f>
        <v>106</v>
      </c>
      <c r="F26" s="215" t="str">
        <f t="shared" si="0"/>
        <v/>
      </c>
      <c r="G26" s="215" t="str">
        <f t="shared" si="1"/>
        <v/>
      </c>
      <c r="H26" s="220">
        <f t="shared" si="2"/>
        <v>97324.276872595903</v>
      </c>
      <c r="K26" s="203" t="str">
        <f t="shared" si="3"/>
        <v/>
      </c>
    </row>
    <row r="27" spans="1:11" x14ac:dyDescent="0.3">
      <c r="A27" s="211">
        <v>1</v>
      </c>
      <c r="B27" s="202" t="s">
        <v>12</v>
      </c>
      <c r="C27" s="149">
        <f>VLOOKUP(B27,BLS!$B$7:$I$64,8,FALSE)</f>
        <v>0.82801860570907593</v>
      </c>
      <c r="D27" s="135">
        <f>C27*'AVG RAS salary'!$F$66</f>
        <v>67690.86241372212</v>
      </c>
      <c r="E27" s="212">
        <f>VLOOKUP(B27,'WF Need'!B28:F85,5,FALSE)</f>
        <v>15</v>
      </c>
      <c r="F27" s="215" t="str">
        <f t="shared" si="0"/>
        <v>Yes</v>
      </c>
      <c r="G27" s="215" t="str">
        <f t="shared" si="1"/>
        <v/>
      </c>
      <c r="H27" s="220">
        <f t="shared" si="2"/>
        <v>67690.86241372212</v>
      </c>
      <c r="K27" s="203">
        <f t="shared" si="3"/>
        <v>67690.86241372212</v>
      </c>
    </row>
    <row r="28" spans="1:11" x14ac:dyDescent="0.3">
      <c r="A28" s="211">
        <v>2</v>
      </c>
      <c r="B28" s="202" t="s">
        <v>27</v>
      </c>
      <c r="C28" s="149">
        <f>VLOOKUP(B28,BLS!$B$7:$I$64,8,FALSE)</f>
        <v>0.77642285823822021</v>
      </c>
      <c r="D28" s="135">
        <f>C28*'AVG RAS salary'!$F$66</f>
        <v>63472.888784745526</v>
      </c>
      <c r="E28" s="212">
        <f>VLOOKUP(B28,'WF Need'!B29:F86,5,FALSE)</f>
        <v>71</v>
      </c>
      <c r="F28" s="215" t="str">
        <f t="shared" si="0"/>
        <v/>
      </c>
      <c r="G28" s="215" t="str">
        <f t="shared" si="1"/>
        <v/>
      </c>
      <c r="H28" s="220">
        <f t="shared" si="2"/>
        <v>63472.888784745526</v>
      </c>
      <c r="K28" s="203" t="str">
        <f t="shared" si="3"/>
        <v/>
      </c>
    </row>
    <row r="29" spans="1:11" x14ac:dyDescent="0.3">
      <c r="A29" s="211">
        <v>2</v>
      </c>
      <c r="B29" s="202" t="s">
        <v>28</v>
      </c>
      <c r="C29" s="149">
        <f>VLOOKUP(B29,BLS!$B$7:$I$64,8,FALSE)</f>
        <v>0.78461319208145142</v>
      </c>
      <c r="D29" s="135">
        <f>C29*'AVG RAS salary'!$F$66</f>
        <v>64142.451953353127</v>
      </c>
      <c r="E29" s="212">
        <f>VLOOKUP(B29,'WF Need'!B30:F87,5,FALSE)</f>
        <v>174</v>
      </c>
      <c r="F29" s="215" t="str">
        <f t="shared" si="0"/>
        <v/>
      </c>
      <c r="G29" s="215" t="str">
        <f t="shared" si="1"/>
        <v/>
      </c>
      <c r="H29" s="220">
        <f t="shared" si="2"/>
        <v>64142.451953353127</v>
      </c>
      <c r="K29" s="203" t="str">
        <f t="shared" si="3"/>
        <v/>
      </c>
    </row>
    <row r="30" spans="1:11" x14ac:dyDescent="0.3">
      <c r="A30" s="211">
        <v>1</v>
      </c>
      <c r="B30" s="202" t="s">
        <v>13</v>
      </c>
      <c r="C30" s="149">
        <f>VLOOKUP(B30,BLS!$B$7:$I$64,8,FALSE)</f>
        <v>0.56760567426681519</v>
      </c>
      <c r="D30" s="135">
        <f>C30*'AVG RAS salary'!$F$66</f>
        <v>46401.99789851391</v>
      </c>
      <c r="E30" s="212">
        <f>VLOOKUP(B30,'WF Need'!B31:F88,5,FALSE)</f>
        <v>13</v>
      </c>
      <c r="F30" s="215" t="str">
        <f t="shared" si="0"/>
        <v>Yes</v>
      </c>
      <c r="G30" s="215" t="str">
        <f t="shared" si="1"/>
        <v>Yes</v>
      </c>
      <c r="H30" s="220">
        <f t="shared" si="2"/>
        <v>62314.383849994083</v>
      </c>
      <c r="K30" s="203">
        <f t="shared" si="3"/>
        <v>46401.99789851391</v>
      </c>
    </row>
    <row r="31" spans="1:11" x14ac:dyDescent="0.3">
      <c r="A31" s="211">
        <v>1</v>
      </c>
      <c r="B31" s="202" t="s">
        <v>14</v>
      </c>
      <c r="C31" s="149">
        <f>VLOOKUP(B31,BLS!$B$7:$I$64,8,FALSE)</f>
        <v>0.91385245323181152</v>
      </c>
      <c r="D31" s="135">
        <f>C31*'AVG RAS salary'!$F$66</f>
        <v>74707.814838512553</v>
      </c>
      <c r="E31" s="212">
        <f>VLOOKUP(B31,'WF Need'!B32:F89,5,FALSE)</f>
        <v>13</v>
      </c>
      <c r="F31" s="215" t="str">
        <f t="shared" si="0"/>
        <v>Yes</v>
      </c>
      <c r="G31" s="215" t="str">
        <f t="shared" si="1"/>
        <v/>
      </c>
      <c r="H31" s="220">
        <f t="shared" si="2"/>
        <v>74707.814838512553</v>
      </c>
      <c r="K31" s="203">
        <f t="shared" si="3"/>
        <v>74707.814838512553</v>
      </c>
    </row>
    <row r="32" spans="1:11" x14ac:dyDescent="0.3">
      <c r="A32" s="211">
        <v>3</v>
      </c>
      <c r="B32" s="202" t="s">
        <v>44</v>
      </c>
      <c r="C32" s="149">
        <f>VLOOKUP(B32,BLS!$B$7:$I$64,8,FALSE)</f>
        <v>1.1321594715118408</v>
      </c>
      <c r="D32" s="135">
        <f>C32*'AVG RAS salary'!$F$66</f>
        <v>92554.503592189445</v>
      </c>
      <c r="E32" s="212">
        <f>VLOOKUP(B32,'WF Need'!B33:F90,5,FALSE)</f>
        <v>223</v>
      </c>
      <c r="F32" s="215" t="str">
        <f t="shared" si="0"/>
        <v/>
      </c>
      <c r="G32" s="215" t="str">
        <f t="shared" si="1"/>
        <v/>
      </c>
      <c r="H32" s="220">
        <f t="shared" si="2"/>
        <v>92554.503592189445</v>
      </c>
      <c r="K32" s="203" t="str">
        <f t="shared" si="3"/>
        <v/>
      </c>
    </row>
    <row r="33" spans="1:11" x14ac:dyDescent="0.3">
      <c r="A33" s="211">
        <v>2</v>
      </c>
      <c r="B33" s="202" t="s">
        <v>29</v>
      </c>
      <c r="C33" s="149">
        <f>VLOOKUP(B33,BLS!$B$7:$I$64,8,FALSE)</f>
        <v>1.2873004674911499</v>
      </c>
      <c r="D33" s="135">
        <f>C33*'AVG RAS salary'!$F$66</f>
        <v>105237.34397905506</v>
      </c>
      <c r="E33" s="212">
        <f>VLOOKUP(B33,'WF Need'!B34:F91,5,FALSE)</f>
        <v>74</v>
      </c>
      <c r="F33" s="215" t="str">
        <f t="shared" si="0"/>
        <v/>
      </c>
      <c r="G33" s="215" t="str">
        <f t="shared" si="1"/>
        <v/>
      </c>
      <c r="H33" s="220">
        <f t="shared" si="2"/>
        <v>105237.34397905506</v>
      </c>
      <c r="K33" s="203" t="str">
        <f t="shared" si="3"/>
        <v/>
      </c>
    </row>
    <row r="34" spans="1:11" x14ac:dyDescent="0.3">
      <c r="A34" s="211">
        <v>2</v>
      </c>
      <c r="B34" s="202" t="s">
        <v>30</v>
      </c>
      <c r="C34" s="149">
        <f>VLOOKUP(B34,BLS!$B$7:$I$64,8,FALSE)</f>
        <v>1.0597002506256104</v>
      </c>
      <c r="D34" s="135">
        <f>C34*'AVG RAS salary'!$F$66</f>
        <v>86630.932409371555</v>
      </c>
      <c r="E34" s="212">
        <f>VLOOKUP(B34,'WF Need'!B35:F92,5,FALSE)</f>
        <v>54</v>
      </c>
      <c r="F34" s="215" t="str">
        <f t="shared" si="0"/>
        <v/>
      </c>
      <c r="G34" s="215" t="str">
        <f t="shared" si="1"/>
        <v/>
      </c>
      <c r="H34" s="220">
        <f t="shared" si="2"/>
        <v>86630.932409371555</v>
      </c>
      <c r="K34" s="203" t="str">
        <f t="shared" si="3"/>
        <v/>
      </c>
    </row>
    <row r="35" spans="1:11" x14ac:dyDescent="0.3">
      <c r="A35" s="211">
        <v>4</v>
      </c>
      <c r="B35" s="202" t="s">
        <v>55</v>
      </c>
      <c r="C35" s="149">
        <f>VLOOKUP(B35,BLS!$B$7:$I$64,8,FALSE)</f>
        <v>1.2251654863357544</v>
      </c>
      <c r="D35" s="135">
        <f>C35*'AVG RAS salary'!$F$66</f>
        <v>100157.7836509785</v>
      </c>
      <c r="E35" s="212">
        <f>VLOOKUP(B35,'WF Need'!B36:F93,5,FALSE)</f>
        <v>1542</v>
      </c>
      <c r="F35" s="215" t="str">
        <f t="shared" si="0"/>
        <v/>
      </c>
      <c r="G35" s="215" t="str">
        <f t="shared" si="1"/>
        <v/>
      </c>
      <c r="H35" s="220">
        <f t="shared" si="2"/>
        <v>100157.7836509785</v>
      </c>
      <c r="K35" s="203" t="str">
        <f t="shared" si="3"/>
        <v/>
      </c>
    </row>
    <row r="36" spans="1:11" x14ac:dyDescent="0.3">
      <c r="A36" s="211">
        <v>2</v>
      </c>
      <c r="B36" s="202" t="s">
        <v>31</v>
      </c>
      <c r="C36" s="149">
        <f>VLOOKUP(B36,BLS!$B$7:$I$64,8,FALSE)</f>
        <v>1.1614402532577515</v>
      </c>
      <c r="D36" s="135">
        <f>C36*'AVG RAS salary'!$F$66</f>
        <v>94948.219572558432</v>
      </c>
      <c r="E36" s="212">
        <f>VLOOKUP(B36,'WF Need'!B37:F94,5,FALSE)</f>
        <v>204</v>
      </c>
      <c r="F36" s="215" t="str">
        <f t="shared" si="0"/>
        <v/>
      </c>
      <c r="G36" s="215" t="str">
        <f t="shared" si="1"/>
        <v/>
      </c>
      <c r="H36" s="220">
        <f t="shared" si="2"/>
        <v>94948.219572558432</v>
      </c>
      <c r="K36" s="203" t="str">
        <f t="shared" si="3"/>
        <v/>
      </c>
    </row>
    <row r="37" spans="1:11" x14ac:dyDescent="0.3">
      <c r="A37" s="211">
        <v>1</v>
      </c>
      <c r="B37" s="202" t="s">
        <v>15</v>
      </c>
      <c r="C37" s="149">
        <f>VLOOKUP(B37,BLS!$B$7:$I$64,8,FALSE)</f>
        <v>0.72609078884124756</v>
      </c>
      <c r="D37" s="135">
        <f>C37*'AVG RAS salary'!$F$66</f>
        <v>59358.221359330877</v>
      </c>
      <c r="E37" s="212">
        <f>VLOOKUP(B37,'WF Need'!B38:F95,5,FALSE)</f>
        <v>14</v>
      </c>
      <c r="F37" s="215" t="str">
        <f t="shared" si="0"/>
        <v>Yes</v>
      </c>
      <c r="G37" s="215" t="str">
        <f t="shared" si="1"/>
        <v>Yes</v>
      </c>
      <c r="H37" s="220">
        <f t="shared" si="2"/>
        <v>62314.383849994083</v>
      </c>
      <c r="K37" s="203">
        <f t="shared" si="3"/>
        <v>59358.221359330877</v>
      </c>
    </row>
    <row r="38" spans="1:11" x14ac:dyDescent="0.3">
      <c r="A38" s="211">
        <v>4</v>
      </c>
      <c r="B38" s="202" t="s">
        <v>56</v>
      </c>
      <c r="C38" s="149">
        <f>VLOOKUP(B38,BLS!$B$7:$I$64,8,FALSE)</f>
        <v>1.0591380596160889</v>
      </c>
      <c r="D38" s="135">
        <f>C38*'AVG RAS salary'!$F$66</f>
        <v>86584.973062548466</v>
      </c>
      <c r="E38" s="212">
        <f>VLOOKUP(B38,'WF Need'!B39:F96,5,FALSE)</f>
        <v>1295</v>
      </c>
      <c r="F38" s="215" t="str">
        <f t="shared" si="0"/>
        <v/>
      </c>
      <c r="G38" s="215" t="str">
        <f t="shared" si="1"/>
        <v/>
      </c>
      <c r="H38" s="220">
        <f t="shared" si="2"/>
        <v>86584.973062548466</v>
      </c>
      <c r="K38" s="203" t="str">
        <f t="shared" si="3"/>
        <v/>
      </c>
    </row>
    <row r="39" spans="1:11" x14ac:dyDescent="0.3">
      <c r="A39" s="211">
        <v>4</v>
      </c>
      <c r="B39" s="202" t="s">
        <v>57</v>
      </c>
      <c r="C39" s="149">
        <f>VLOOKUP(B39,BLS!$B$7:$I$64,8,FALSE)</f>
        <v>1.3278616666793823</v>
      </c>
      <c r="D39" s="135">
        <f>C39*'AVG RAS salary'!$F$66</f>
        <v>108553.23873631717</v>
      </c>
      <c r="E39" s="212">
        <f>VLOOKUP(B39,'WF Need'!B40:F97,5,FALSE)</f>
        <v>856</v>
      </c>
      <c r="F39" s="215" t="str">
        <f t="shared" si="0"/>
        <v/>
      </c>
      <c r="G39" s="215" t="str">
        <f t="shared" si="1"/>
        <v/>
      </c>
      <c r="H39" s="220">
        <f t="shared" si="2"/>
        <v>108553.23873631717</v>
      </c>
      <c r="K39" s="203" t="str">
        <f t="shared" si="3"/>
        <v/>
      </c>
    </row>
    <row r="40" spans="1:11" x14ac:dyDescent="0.3">
      <c r="A40" s="211">
        <v>1</v>
      </c>
      <c r="B40" s="202" t="s">
        <v>16</v>
      </c>
      <c r="C40" s="149">
        <f>VLOOKUP(B40,BLS!$B$7:$I$64,8,FALSE)</f>
        <v>1.0319836139678955</v>
      </c>
      <c r="D40" s="135">
        <f>C40*'AVG RAS salary'!$F$66</f>
        <v>84365.085934868912</v>
      </c>
      <c r="E40" s="212">
        <f>VLOOKUP(B40,'WF Need'!B41:F98,5,FALSE)</f>
        <v>40</v>
      </c>
      <c r="F40" s="215" t="str">
        <f t="shared" si="0"/>
        <v>Yes</v>
      </c>
      <c r="G40" s="215" t="str">
        <f t="shared" si="1"/>
        <v/>
      </c>
      <c r="H40" s="220">
        <f t="shared" si="2"/>
        <v>84365.085934868912</v>
      </c>
      <c r="K40" s="203">
        <f t="shared" si="3"/>
        <v>84365.085934868912</v>
      </c>
    </row>
    <row r="41" spans="1:11" x14ac:dyDescent="0.3">
      <c r="A41" s="211">
        <v>4</v>
      </c>
      <c r="B41" s="202" t="s">
        <v>58</v>
      </c>
      <c r="C41" s="149">
        <f>VLOOKUP(B41,BLS!$B$7:$I$64,8,FALSE)</f>
        <v>1.1494022607803345</v>
      </c>
      <c r="D41" s="135">
        <f>C41*'AVG RAS salary'!$F$66</f>
        <v>93964.10872419356</v>
      </c>
      <c r="E41" s="212">
        <f>VLOOKUP(B41,'WF Need'!B42:F99,5,FALSE)</f>
        <v>1326</v>
      </c>
      <c r="F41" s="215" t="str">
        <f t="shared" si="0"/>
        <v/>
      </c>
      <c r="G41" s="215" t="str">
        <f t="shared" si="1"/>
        <v/>
      </c>
      <c r="H41" s="220">
        <f t="shared" si="2"/>
        <v>93964.10872419356</v>
      </c>
      <c r="K41" s="203" t="str">
        <f t="shared" si="3"/>
        <v/>
      </c>
    </row>
    <row r="42" spans="1:11" x14ac:dyDescent="0.3">
      <c r="A42" s="211">
        <v>4</v>
      </c>
      <c r="B42" s="202" t="s">
        <v>59</v>
      </c>
      <c r="C42" s="149">
        <f>VLOOKUP(B42,BLS!$B$7:$I$64,8,FALSE)</f>
        <v>1.190160870552063</v>
      </c>
      <c r="D42" s="135">
        <f>C42*'AVG RAS salary'!$F$66</f>
        <v>97296.141878050039</v>
      </c>
      <c r="E42" s="212">
        <f>VLOOKUP(B42,'WF Need'!B43:F100,5,FALSE)</f>
        <v>1301</v>
      </c>
      <c r="F42" s="215" t="str">
        <f t="shared" si="0"/>
        <v/>
      </c>
      <c r="G42" s="215" t="str">
        <f t="shared" si="1"/>
        <v/>
      </c>
      <c r="H42" s="220">
        <f t="shared" si="2"/>
        <v>97296.141878050039</v>
      </c>
      <c r="K42" s="203" t="str">
        <f t="shared" si="3"/>
        <v/>
      </c>
    </row>
    <row r="43" spans="1:11" x14ac:dyDescent="0.3">
      <c r="A43" s="211">
        <v>3</v>
      </c>
      <c r="B43" s="202" t="s">
        <v>60</v>
      </c>
      <c r="C43" s="149">
        <f>VLOOKUP(B43,BLS!$B$7:$I$64,8,FALSE)</f>
        <v>1.7261735200881958</v>
      </c>
      <c r="D43" s="135">
        <f>C43*'AVG RAS salary'!$F$66</f>
        <v>141115.39697883831</v>
      </c>
      <c r="E43" s="212">
        <f>VLOOKUP(B43,'WF Need'!B44:F101,5,FALSE)</f>
        <v>332</v>
      </c>
      <c r="F43" s="215" t="str">
        <f t="shared" si="0"/>
        <v/>
      </c>
      <c r="G43" s="215" t="str">
        <f t="shared" si="1"/>
        <v/>
      </c>
      <c r="H43" s="220">
        <f t="shared" si="2"/>
        <v>141115.39697883831</v>
      </c>
      <c r="K43" s="203" t="str">
        <f t="shared" si="3"/>
        <v/>
      </c>
    </row>
    <row r="44" spans="1:11" x14ac:dyDescent="0.3">
      <c r="A44" s="211">
        <v>3</v>
      </c>
      <c r="B44" s="202" t="s">
        <v>45</v>
      </c>
      <c r="C44" s="149">
        <f>VLOOKUP(B44,BLS!$B$7:$I$64,8,FALSE)</f>
        <v>1.0693366527557373</v>
      </c>
      <c r="D44" s="135">
        <f>C44*'AVG RAS salary'!$F$66</f>
        <v>87418.712256655446</v>
      </c>
      <c r="E44" s="212">
        <f>VLOOKUP(B44,'WF Need'!B45:F102,5,FALSE)</f>
        <v>428</v>
      </c>
      <c r="F44" s="215" t="str">
        <f t="shared" si="0"/>
        <v/>
      </c>
      <c r="G44" s="215" t="str">
        <f t="shared" si="1"/>
        <v/>
      </c>
      <c r="H44" s="220">
        <f t="shared" si="2"/>
        <v>87418.712256655446</v>
      </c>
      <c r="K44" s="203" t="str">
        <f t="shared" si="3"/>
        <v/>
      </c>
    </row>
    <row r="45" spans="1:11" x14ac:dyDescent="0.3">
      <c r="A45" s="211">
        <v>2</v>
      </c>
      <c r="B45" s="202" t="s">
        <v>32</v>
      </c>
      <c r="C45" s="149">
        <f>VLOOKUP(B45,BLS!$B$7:$I$64,8,FALSE)</f>
        <v>1.0155090093612671</v>
      </c>
      <c r="D45" s="135">
        <f>C45*'AVG RAS salary'!$F$66</f>
        <v>83018.280215699386</v>
      </c>
      <c r="E45" s="212">
        <f>VLOOKUP(B45,'WF Need'!B46:F103,5,FALSE)</f>
        <v>155</v>
      </c>
      <c r="F45" s="215" t="str">
        <f t="shared" si="0"/>
        <v/>
      </c>
      <c r="G45" s="215" t="str">
        <f t="shared" si="1"/>
        <v/>
      </c>
      <c r="H45" s="220">
        <f t="shared" si="2"/>
        <v>83018.280215699386</v>
      </c>
      <c r="K45" s="203" t="str">
        <f t="shared" si="3"/>
        <v/>
      </c>
    </row>
    <row r="46" spans="1:11" x14ac:dyDescent="0.3">
      <c r="A46" s="211">
        <v>3</v>
      </c>
      <c r="B46" s="202" t="s">
        <v>46</v>
      </c>
      <c r="C46" s="149">
        <f>VLOOKUP(B46,BLS!$B$7:$I$64,8,FALSE)</f>
        <v>1.5910121202468872</v>
      </c>
      <c r="D46" s="135">
        <f>C46*'AVG RAS salary'!$F$66</f>
        <v>130065.89681396078</v>
      </c>
      <c r="E46" s="212">
        <f>VLOOKUP(B46,'WF Need'!B47:F104,5,FALSE)</f>
        <v>294</v>
      </c>
      <c r="F46" s="215" t="str">
        <f t="shared" si="0"/>
        <v/>
      </c>
      <c r="G46" s="215" t="str">
        <f t="shared" si="1"/>
        <v/>
      </c>
      <c r="H46" s="220">
        <f t="shared" si="2"/>
        <v>130065.89681396078</v>
      </c>
      <c r="K46" s="203" t="str">
        <f t="shared" si="3"/>
        <v/>
      </c>
    </row>
    <row r="47" spans="1:11" x14ac:dyDescent="0.3">
      <c r="A47" s="211">
        <v>3</v>
      </c>
      <c r="B47" s="202" t="s">
        <v>47</v>
      </c>
      <c r="C47" s="149">
        <f>VLOOKUP(B47,BLS!$B$7:$I$64,8,FALSE)</f>
        <v>1.219468355178833</v>
      </c>
      <c r="D47" s="135">
        <f>C47*'AVG RAS salary'!$F$66</f>
        <v>99692.04082993904</v>
      </c>
      <c r="E47" s="212">
        <f>VLOOKUP(B47,'WF Need'!B48:F105,5,FALSE)</f>
        <v>216</v>
      </c>
      <c r="F47" s="215" t="str">
        <f t="shared" si="0"/>
        <v/>
      </c>
      <c r="G47" s="215" t="str">
        <f t="shared" si="1"/>
        <v/>
      </c>
      <c r="H47" s="220">
        <f t="shared" si="2"/>
        <v>99692.04082993904</v>
      </c>
      <c r="K47" s="203" t="str">
        <f t="shared" si="3"/>
        <v/>
      </c>
    </row>
    <row r="48" spans="1:11" x14ac:dyDescent="0.3">
      <c r="A48" s="211">
        <v>4</v>
      </c>
      <c r="B48" s="202" t="s">
        <v>61</v>
      </c>
      <c r="C48" s="149">
        <f>VLOOKUP(B48,BLS!$B$7:$I$64,8,FALSE)</f>
        <v>1.4707508087158203</v>
      </c>
      <c r="D48" s="135">
        <f>C48*'AVG RAS salary'!$F$66</f>
        <v>120234.4850118407</v>
      </c>
      <c r="E48" s="212">
        <f>VLOOKUP(B48,'WF Need'!B49:F106,5,FALSE)</f>
        <v>650</v>
      </c>
      <c r="F48" s="215" t="str">
        <f t="shared" si="0"/>
        <v/>
      </c>
      <c r="G48" s="215" t="str">
        <f t="shared" si="1"/>
        <v/>
      </c>
      <c r="H48" s="220">
        <f t="shared" si="2"/>
        <v>120234.4850118407</v>
      </c>
      <c r="K48" s="203" t="str">
        <f t="shared" si="3"/>
        <v/>
      </c>
    </row>
    <row r="49" spans="1:11" x14ac:dyDescent="0.3">
      <c r="A49" s="211">
        <v>2</v>
      </c>
      <c r="B49" s="202" t="s">
        <v>33</v>
      </c>
      <c r="C49" s="149">
        <f>VLOOKUP(B49,BLS!$B$7:$I$64,8,FALSE)</f>
        <v>1.121679425239563</v>
      </c>
      <c r="D49" s="135">
        <f>C49*'AVG RAS salary'!$F$66</f>
        <v>91697.755488445197</v>
      </c>
      <c r="E49" s="212">
        <f>VLOOKUP(B49,'WF Need'!B50:F107,5,FALSE)</f>
        <v>127</v>
      </c>
      <c r="F49" s="215" t="str">
        <f t="shared" si="0"/>
        <v/>
      </c>
      <c r="G49" s="215" t="str">
        <f t="shared" si="1"/>
        <v/>
      </c>
      <c r="H49" s="220">
        <f t="shared" si="2"/>
        <v>91697.755488445197</v>
      </c>
      <c r="K49" s="203" t="str">
        <f t="shared" si="3"/>
        <v/>
      </c>
    </row>
    <row r="50" spans="1:11" x14ac:dyDescent="0.3">
      <c r="A50" s="211">
        <v>2</v>
      </c>
      <c r="B50" s="202" t="s">
        <v>34</v>
      </c>
      <c r="C50" s="149">
        <f>VLOOKUP(B50,BLS!$B$7:$I$64,8,FALSE)</f>
        <v>0.94034713506698608</v>
      </c>
      <c r="D50" s="135">
        <f>C50*'AVG RAS salary'!$F$66</f>
        <v>76873.766002453267</v>
      </c>
      <c r="E50" s="212">
        <f>VLOOKUP(B50,'WF Need'!B51:F108,5,FALSE)</f>
        <v>175</v>
      </c>
      <c r="F50" s="215" t="str">
        <f t="shared" si="0"/>
        <v/>
      </c>
      <c r="G50" s="215" t="str">
        <f t="shared" si="1"/>
        <v/>
      </c>
      <c r="H50" s="220">
        <f t="shared" si="2"/>
        <v>76873.766002453267</v>
      </c>
      <c r="K50" s="203" t="str">
        <f t="shared" si="3"/>
        <v/>
      </c>
    </row>
    <row r="51" spans="1:11" x14ac:dyDescent="0.3">
      <c r="A51" s="211">
        <v>1</v>
      </c>
      <c r="B51" s="202" t="s">
        <v>17</v>
      </c>
      <c r="C51" s="149">
        <f>VLOOKUP(B51,BLS!$B$7:$I$64,8,FALSE)</f>
        <v>0.69722455739974976</v>
      </c>
      <c r="D51" s="135">
        <f>C51*'AVG RAS salary'!$F$66</f>
        <v>56998.395037269205</v>
      </c>
      <c r="E51" s="212">
        <f>VLOOKUP(B51,'WF Need'!B52:F109,5,FALSE)</f>
        <v>4</v>
      </c>
      <c r="F51" s="215" t="str">
        <f t="shared" si="0"/>
        <v>Yes</v>
      </c>
      <c r="G51" s="215" t="str">
        <f t="shared" si="1"/>
        <v>Yes</v>
      </c>
      <c r="H51" s="220">
        <f t="shared" si="2"/>
        <v>62314.383849994083</v>
      </c>
      <c r="K51" s="203">
        <f t="shared" si="3"/>
        <v>56998.395037269205</v>
      </c>
    </row>
    <row r="52" spans="1:11" x14ac:dyDescent="0.3">
      <c r="A52" s="211">
        <v>2</v>
      </c>
      <c r="B52" s="202" t="s">
        <v>35</v>
      </c>
      <c r="C52" s="149">
        <f>VLOOKUP(B52,BLS!$B$7:$I$64,8,FALSE)</f>
        <v>0.69656801223754883</v>
      </c>
      <c r="D52" s="135">
        <f>C52*'AVG RAS salary'!$F$66</f>
        <v>56944.722199561795</v>
      </c>
      <c r="E52" s="212">
        <f>VLOOKUP(B52,'WF Need'!B53:F110,5,FALSE)</f>
        <v>44</v>
      </c>
      <c r="F52" s="215" t="str">
        <f t="shared" si="0"/>
        <v>Yes</v>
      </c>
      <c r="G52" s="215" t="str">
        <f t="shared" si="1"/>
        <v>Yes</v>
      </c>
      <c r="H52" s="220">
        <f t="shared" si="2"/>
        <v>62314.383849994083</v>
      </c>
      <c r="K52" s="203">
        <f t="shared" si="3"/>
        <v>56944.722199561795</v>
      </c>
    </row>
    <row r="53" spans="1:11" x14ac:dyDescent="0.3">
      <c r="A53" s="211">
        <v>3</v>
      </c>
      <c r="B53" s="202" t="s">
        <v>48</v>
      </c>
      <c r="C53" s="149">
        <f>VLOOKUP(B53,BLS!$B$7:$I$64,8,FALSE)</f>
        <v>1.1837702989578247</v>
      </c>
      <c r="D53" s="135">
        <f>C53*'AVG RAS salary'!$F$66</f>
        <v>96773.710015350312</v>
      </c>
      <c r="E53" s="212">
        <f>VLOOKUP(B53,'WF Need'!B54:F111,5,FALSE)</f>
        <v>213</v>
      </c>
      <c r="F53" s="215" t="str">
        <f t="shared" si="0"/>
        <v/>
      </c>
      <c r="G53" s="215" t="str">
        <f t="shared" si="1"/>
        <v/>
      </c>
      <c r="H53" s="220">
        <f t="shared" si="2"/>
        <v>96773.710015350312</v>
      </c>
      <c r="K53" s="203" t="str">
        <f t="shared" si="3"/>
        <v/>
      </c>
    </row>
    <row r="54" spans="1:11" x14ac:dyDescent="0.3">
      <c r="A54" s="211">
        <v>3</v>
      </c>
      <c r="B54" s="202" t="s">
        <v>49</v>
      </c>
      <c r="C54" s="149">
        <f>VLOOKUP(B54,BLS!$B$7:$I$64,8,FALSE)</f>
        <v>1.2040615081787109</v>
      </c>
      <c r="D54" s="135">
        <f>C54*'AVG RAS salary'!$F$66</f>
        <v>98432.524735344239</v>
      </c>
      <c r="E54" s="212">
        <f>VLOOKUP(B54,'WF Need'!B55:F112,5,FALSE)</f>
        <v>216</v>
      </c>
      <c r="F54" s="215" t="str">
        <f t="shared" si="0"/>
        <v/>
      </c>
      <c r="G54" s="215" t="str">
        <f t="shared" si="1"/>
        <v/>
      </c>
      <c r="H54" s="220">
        <f t="shared" si="2"/>
        <v>98432.524735344239</v>
      </c>
      <c r="K54" s="203" t="str">
        <f t="shared" si="3"/>
        <v/>
      </c>
    </row>
    <row r="55" spans="1:11" x14ac:dyDescent="0.3">
      <c r="A55" s="211">
        <v>3</v>
      </c>
      <c r="B55" s="202" t="s">
        <v>50</v>
      </c>
      <c r="C55" s="149">
        <f>VLOOKUP(B55,BLS!$B$7:$I$64,8,FALSE)</f>
        <v>1.0330866575241089</v>
      </c>
      <c r="D55" s="135">
        <f>C55*'AVG RAS salary'!$F$66</f>
        <v>84455.260200380784</v>
      </c>
      <c r="E55" s="212">
        <f>VLOOKUP(B55,'WF Need'!B56:F113,5,FALSE)</f>
        <v>339</v>
      </c>
      <c r="F55" s="215" t="str">
        <f t="shared" si="0"/>
        <v/>
      </c>
      <c r="G55" s="215" t="str">
        <f t="shared" si="1"/>
        <v/>
      </c>
      <c r="H55" s="220">
        <f t="shared" si="2"/>
        <v>84455.260200380784</v>
      </c>
      <c r="K55" s="203" t="str">
        <f t="shared" si="3"/>
        <v/>
      </c>
    </row>
    <row r="56" spans="1:11" x14ac:dyDescent="0.3">
      <c r="A56" s="211">
        <v>2</v>
      </c>
      <c r="B56" s="202" t="s">
        <v>36</v>
      </c>
      <c r="C56" s="149">
        <f>VLOOKUP(B56,BLS!$B$7:$I$64,8,FALSE)</f>
        <v>0.9477086067199707</v>
      </c>
      <c r="D56" s="135">
        <f>C56*'AVG RAS salary'!$F$66</f>
        <v>77475.569345263386</v>
      </c>
      <c r="E56" s="212">
        <f>VLOOKUP(B56,'WF Need'!B57:F114,5,FALSE)</f>
        <v>76</v>
      </c>
      <c r="F56" s="215" t="str">
        <f t="shared" si="0"/>
        <v/>
      </c>
      <c r="G56" s="215" t="str">
        <f t="shared" si="1"/>
        <v/>
      </c>
      <c r="H56" s="220">
        <f t="shared" si="2"/>
        <v>77475.569345263386</v>
      </c>
      <c r="K56" s="203" t="str">
        <f t="shared" si="3"/>
        <v/>
      </c>
    </row>
    <row r="57" spans="1:11" x14ac:dyDescent="0.3">
      <c r="A57" s="211">
        <v>2</v>
      </c>
      <c r="B57" s="202" t="s">
        <v>37</v>
      </c>
      <c r="C57" s="149">
        <f>VLOOKUP(B57,BLS!$B$7:$I$64,8,FALSE)</f>
        <v>0.78663307428359985</v>
      </c>
      <c r="D57" s="135">
        <f>C57*'AVG RAS salary'!$F$66</f>
        <v>64307.578156188232</v>
      </c>
      <c r="E57" s="212">
        <f>VLOOKUP(B57,'WF Need'!B58:F115,5,FALSE)</f>
        <v>61</v>
      </c>
      <c r="F57" s="215" t="str">
        <f t="shared" si="0"/>
        <v/>
      </c>
      <c r="G57" s="215" t="str">
        <f t="shared" si="1"/>
        <v/>
      </c>
      <c r="H57" s="220">
        <f t="shared" si="2"/>
        <v>64307.578156188232</v>
      </c>
      <c r="K57" s="203" t="str">
        <f t="shared" si="3"/>
        <v/>
      </c>
    </row>
    <row r="58" spans="1:11" x14ac:dyDescent="0.3">
      <c r="A58" s="211">
        <v>1</v>
      </c>
      <c r="B58" s="202" t="s">
        <v>18</v>
      </c>
      <c r="C58" s="149">
        <f>VLOOKUP(B58,BLS!$B$7:$I$64,8,FALSE)</f>
        <v>0.76225161552429199</v>
      </c>
      <c r="D58" s="135">
        <f>C58*'AVG RAS salary'!$F$66</f>
        <v>62314.383849994083</v>
      </c>
      <c r="E58" s="212">
        <f>VLOOKUP(B58,'WF Need'!B59:F116,5,FALSE)</f>
        <v>17</v>
      </c>
      <c r="F58" s="215" t="str">
        <f t="shared" si="0"/>
        <v>Yes</v>
      </c>
      <c r="G58" s="215" t="str">
        <f t="shared" si="1"/>
        <v/>
      </c>
      <c r="H58" s="220">
        <f t="shared" si="2"/>
        <v>62314.383849994083</v>
      </c>
      <c r="K58" s="203">
        <f t="shared" si="3"/>
        <v>62314.383849994083</v>
      </c>
    </row>
    <row r="59" spans="1:11" x14ac:dyDescent="0.3">
      <c r="A59" s="211">
        <v>3</v>
      </c>
      <c r="B59" s="202" t="s">
        <v>51</v>
      </c>
      <c r="C59" s="149">
        <f>VLOOKUP(B59,BLS!$B$7:$I$64,8,FALSE)</f>
        <v>0.95172452926635742</v>
      </c>
      <c r="D59" s="135">
        <f>C59*'AVG RAS salary'!$F$66</f>
        <v>77803.872669219301</v>
      </c>
      <c r="E59" s="212">
        <f>VLOOKUP(B59,'WF Need'!B60:F117,5,FALSE)</f>
        <v>304</v>
      </c>
      <c r="F59" s="215" t="str">
        <f t="shared" si="0"/>
        <v/>
      </c>
      <c r="G59" s="215" t="str">
        <f t="shared" si="1"/>
        <v/>
      </c>
      <c r="H59" s="220">
        <f t="shared" si="2"/>
        <v>77803.872669219301</v>
      </c>
      <c r="K59" s="203" t="str">
        <f t="shared" si="3"/>
        <v/>
      </c>
    </row>
    <row r="60" spans="1:11" x14ac:dyDescent="0.3">
      <c r="A60" s="211">
        <v>2</v>
      </c>
      <c r="B60" s="202" t="s">
        <v>38</v>
      </c>
      <c r="C60" s="149">
        <f>VLOOKUP(B60,BLS!$B$7:$I$64,8,FALSE)</f>
        <v>0.83219724893569946</v>
      </c>
      <c r="D60" s="135">
        <f>C60*'AVG RAS salary'!$F$66</f>
        <v>68032.468220378083</v>
      </c>
      <c r="E60" s="212">
        <f>VLOOKUP(B60,'WF Need'!B61:F118,5,FALSE)</f>
        <v>45</v>
      </c>
      <c r="F60" s="215" t="str">
        <f t="shared" si="0"/>
        <v>Yes</v>
      </c>
      <c r="G60" s="215" t="str">
        <f t="shared" si="1"/>
        <v/>
      </c>
      <c r="H60" s="220">
        <f t="shared" si="2"/>
        <v>68032.468220378083</v>
      </c>
      <c r="K60" s="203">
        <f t="shared" si="3"/>
        <v>68032.468220378083</v>
      </c>
    </row>
    <row r="61" spans="1:11" x14ac:dyDescent="0.3">
      <c r="A61" s="211">
        <v>3</v>
      </c>
      <c r="B61" s="202" t="s">
        <v>52</v>
      </c>
      <c r="C61" s="149">
        <f>VLOOKUP(B61,BLS!$B$7:$I$64,8,FALSE)</f>
        <v>1.2475881576538086</v>
      </c>
      <c r="D61" s="135">
        <f>C61*'AVG RAS salary'!$F$66</f>
        <v>101990.84627623043</v>
      </c>
      <c r="E61" s="212">
        <f>VLOOKUP(B61,'WF Need'!B62:F119,5,FALSE)</f>
        <v>367</v>
      </c>
      <c r="F61" s="215" t="str">
        <f t="shared" si="0"/>
        <v/>
      </c>
      <c r="G61" s="215" t="str">
        <f t="shared" si="1"/>
        <v/>
      </c>
      <c r="H61" s="220">
        <f t="shared" si="2"/>
        <v>101990.84627623043</v>
      </c>
      <c r="K61" s="203" t="str">
        <f t="shared" si="3"/>
        <v/>
      </c>
    </row>
    <row r="62" spans="1:11" x14ac:dyDescent="0.3">
      <c r="A62" s="211">
        <v>2</v>
      </c>
      <c r="B62" s="202" t="s">
        <v>39</v>
      </c>
      <c r="C62" s="149">
        <f>VLOOKUP(B62,BLS!$B$7:$I$64,8,FALSE)</f>
        <v>1.2881031036376953</v>
      </c>
      <c r="D62" s="135">
        <f>C62*'AVG RAS salary'!$F$66</f>
        <v>105302.95981496682</v>
      </c>
      <c r="E62" s="212">
        <f>VLOOKUP(B62,'WF Need'!B63:F120,5,FALSE)</f>
        <v>117</v>
      </c>
      <c r="F62" s="215" t="str">
        <f t="shared" si="0"/>
        <v/>
      </c>
      <c r="G62" s="215" t="str">
        <f t="shared" si="1"/>
        <v/>
      </c>
      <c r="H62" s="220">
        <f t="shared" si="2"/>
        <v>105302.95981496682</v>
      </c>
      <c r="K62" s="203" t="str">
        <f t="shared" si="3"/>
        <v/>
      </c>
    </row>
    <row r="63" spans="1:11" x14ac:dyDescent="0.3">
      <c r="A63" s="211">
        <v>2</v>
      </c>
      <c r="B63" s="202" t="s">
        <v>40</v>
      </c>
      <c r="C63" s="149">
        <f>VLOOKUP(B63,BLS!$B$7:$I$64,8,FALSE)</f>
        <v>1.2137424945831299</v>
      </c>
      <c r="D63" s="135">
        <f>C63*'AVG RAS salary'!$F$66</f>
        <v>99223.949365433873</v>
      </c>
      <c r="E63" s="212">
        <f>VLOOKUP(B63,'WF Need'!B64:F121,5,FALSE)</f>
        <v>72</v>
      </c>
      <c r="F63" s="215" t="str">
        <f t="shared" si="0"/>
        <v/>
      </c>
      <c r="G63" s="215" t="str">
        <f t="shared" si="1"/>
        <v/>
      </c>
      <c r="H63" s="220">
        <f t="shared" si="2"/>
        <v>99223.949365433873</v>
      </c>
      <c r="K63" s="203" t="str">
        <f>IF(F63="Yes",D63,"")</f>
        <v/>
      </c>
    </row>
    <row r="64" spans="1:11" x14ac:dyDescent="0.3">
      <c r="C64" s="204"/>
      <c r="D64" s="255"/>
      <c r="E64" s="111"/>
      <c r="K64" s="206">
        <f>MEDIAN(K6:K63)</f>
        <v>62314.383849994083</v>
      </c>
    </row>
    <row r="65" spans="1:11" x14ac:dyDescent="0.3">
      <c r="B65" s="209" t="s">
        <v>235</v>
      </c>
      <c r="C65" s="232"/>
      <c r="E65" s="205"/>
      <c r="K65" s="206"/>
    </row>
    <row r="66" spans="1:11" ht="19.05" customHeight="1" x14ac:dyDescent="0.3">
      <c r="A66" s="207"/>
      <c r="D66" s="223" t="s">
        <v>77</v>
      </c>
      <c r="G66" s="218" t="s">
        <v>77</v>
      </c>
      <c r="H66" s="224">
        <f>K64</f>
        <v>62314.383849994083</v>
      </c>
    </row>
    <row r="67" spans="1:11" x14ac:dyDescent="0.3">
      <c r="B67" s="208"/>
      <c r="C67" s="106"/>
      <c r="D67" s="150">
        <f>K64</f>
        <v>62314.383849994083</v>
      </c>
    </row>
  </sheetData>
  <sortState xmlns:xlrd2="http://schemas.microsoft.com/office/spreadsheetml/2017/richdata2" ref="A5:K62">
    <sortCondition ref="B5:B62"/>
  </sortState>
  <mergeCells count="2">
    <mergeCell ref="A4:A5"/>
    <mergeCell ref="B4:B5"/>
  </mergeCells>
  <conditionalFormatting sqref="F4:H4">
    <cfRule type="cellIs" dxfId="1" priority="1" operator="equal">
      <formula>"No"</formula>
    </cfRule>
  </conditionalFormatting>
  <printOptions horizontalCentered="1"/>
  <pageMargins left="0.25" right="0.25" top="0.5" bottom="0.25" header="0.3" footer="0.3"/>
  <pageSetup scale="6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4CCD0-69EA-400D-83FE-539BC9680C01}">
  <sheetPr>
    <tabColor rgb="FF92D050"/>
    <pageSetUpPr fitToPage="1"/>
  </sheetPr>
  <dimension ref="A1:G68"/>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21875" defaultRowHeight="14.4" x14ac:dyDescent="0.3"/>
  <cols>
    <col min="1" max="1" width="16.21875" style="53" customWidth="1"/>
    <col min="2" max="2" width="15.77734375" style="53" bestFit="1" customWidth="1"/>
    <col min="3" max="3" width="15.6640625" style="53" bestFit="1" customWidth="1"/>
    <col min="4" max="4" width="16.44140625" style="53" customWidth="1"/>
    <col min="5" max="5" width="16.33203125" style="53" bestFit="1" customWidth="1"/>
    <col min="6" max="6" width="15.44140625" style="53" customWidth="1"/>
    <col min="7" max="7" width="19.21875" style="53" customWidth="1"/>
    <col min="8" max="16384" width="9.21875" style="53"/>
  </cols>
  <sheetData>
    <row r="1" spans="1:7" ht="18" x14ac:dyDescent="0.3">
      <c r="A1" s="158" t="s">
        <v>127</v>
      </c>
    </row>
    <row r="2" spans="1:7" x14ac:dyDescent="0.3">
      <c r="A2" s="49" t="s">
        <v>246</v>
      </c>
    </row>
    <row r="4" spans="1:7" x14ac:dyDescent="0.3">
      <c r="B4" s="289" t="s">
        <v>240</v>
      </c>
      <c r="C4" s="290"/>
    </row>
    <row r="5" spans="1:7" ht="43.2" x14ac:dyDescent="0.3">
      <c r="A5" s="291" t="s">
        <v>63</v>
      </c>
      <c r="B5" s="196" t="s">
        <v>186</v>
      </c>
      <c r="C5" s="196" t="s">
        <v>185</v>
      </c>
      <c r="D5" s="42" t="s">
        <v>199</v>
      </c>
      <c r="E5" s="197" t="s">
        <v>200</v>
      </c>
      <c r="F5" s="42" t="s">
        <v>201</v>
      </c>
      <c r="G5" s="42" t="s">
        <v>202</v>
      </c>
    </row>
    <row r="6" spans="1:7" x14ac:dyDescent="0.3">
      <c r="A6" s="292"/>
      <c r="B6" s="78" t="s">
        <v>65</v>
      </c>
      <c r="C6" s="78" t="s">
        <v>1</v>
      </c>
      <c r="D6" s="78" t="s">
        <v>66</v>
      </c>
      <c r="E6" s="78" t="s">
        <v>2</v>
      </c>
      <c r="F6" s="78" t="s">
        <v>3</v>
      </c>
      <c r="G6" s="78" t="s">
        <v>83</v>
      </c>
    </row>
    <row r="7" spans="1:7" x14ac:dyDescent="0.3">
      <c r="A7" s="151" t="s">
        <v>53</v>
      </c>
      <c r="B7" s="152">
        <f>_xlfn.XLOOKUP(A7,'[12]Program 10'!$A$7:$A$64,'[12]Program 10'!$B$7:$B$64,,0)</f>
        <v>446.35000000000019</v>
      </c>
      <c r="C7" s="152">
        <f>_xlfn.XLOOKUP(A7,'[12]Program 10'!$A$7:$A$64,'[12]Program 10'!$C$7:$C$64,,0)</f>
        <v>43749368.743940286</v>
      </c>
      <c r="D7" s="152">
        <f>_xlfn.XLOOKUP(A7,'[12]Program 10'!$A$7:$A$64,'[12]Program 10'!$D$7:$D$64,,0)</f>
        <v>13812551.777255442</v>
      </c>
      <c r="E7" s="152">
        <f>_xlfn.XLOOKUP(A7,'[12]Program 10'!$A$7:$A$64,'[12]Program 10'!$E$7:$E$64,,0)</f>
        <v>10307921.75</v>
      </c>
      <c r="F7" s="153">
        <f>D7/C7</f>
        <v>0.31572002462706655</v>
      </c>
      <c r="G7" s="154">
        <f>E7/B7</f>
        <v>23093.809230424544</v>
      </c>
    </row>
    <row r="8" spans="1:7" x14ac:dyDescent="0.3">
      <c r="A8" s="151" t="s">
        <v>4</v>
      </c>
      <c r="B8" s="152">
        <f>_xlfn.XLOOKUP(A8,'[12]Program 10'!$A$7:$A$64,'[12]Program 10'!$B$7:$B$64,,0)</f>
        <v>3.8969</v>
      </c>
      <c r="C8" s="152">
        <f>_xlfn.XLOOKUP(A8,'[12]Program 10'!$A$7:$A$64,'[12]Program 10'!$C$7:$C$64,,0)</f>
        <v>195068.70400000003</v>
      </c>
      <c r="D8" s="152">
        <f>_xlfn.XLOOKUP(A8,'[12]Program 10'!$A$7:$A$64,'[12]Program 10'!$D$7:$D$64,,0)</f>
        <v>47572.595564640011</v>
      </c>
      <c r="E8" s="152">
        <f>_xlfn.XLOOKUP(A8,'[12]Program 10'!$A$7:$A$64,'[12]Program 10'!$E$7:$E$64,,0)</f>
        <v>92992.824554999999</v>
      </c>
      <c r="F8" s="153">
        <f t="shared" ref="F8:F65" si="0">D8/C8</f>
        <v>0.24387610410658186</v>
      </c>
      <c r="G8" s="154">
        <f t="shared" ref="G8:G64" si="1">E8/B8</f>
        <v>23863.282238445943</v>
      </c>
    </row>
    <row r="9" spans="1:7" x14ac:dyDescent="0.3">
      <c r="A9" s="151" t="s">
        <v>5</v>
      </c>
      <c r="B9" s="152">
        <f>_xlfn.XLOOKUP(A9,'[12]Program 10'!$A$7:$A$64,'[12]Program 10'!$B$7:$B$64,,0)</f>
        <v>17.75</v>
      </c>
      <c r="C9" s="152">
        <f>_xlfn.XLOOKUP(A9,'[12]Program 10'!$A$7:$A$64,'[12]Program 10'!$C$7:$C$64,,0)</f>
        <v>1399497.0600000003</v>
      </c>
      <c r="D9" s="152">
        <f>_xlfn.XLOOKUP(A9,'[12]Program 10'!$A$7:$A$64,'[12]Program 10'!$D$7:$D$64,,0)</f>
        <v>575193.29165999999</v>
      </c>
      <c r="E9" s="152">
        <f>_xlfn.XLOOKUP(A9,'[12]Program 10'!$A$7:$A$64,'[12]Program 10'!$E$7:$E$64,,0)</f>
        <v>240066.95750000008</v>
      </c>
      <c r="F9" s="153">
        <f t="shared" si="0"/>
        <v>0.41099999999999992</v>
      </c>
      <c r="G9" s="154">
        <f t="shared" si="1"/>
        <v>13524.899014084511</v>
      </c>
    </row>
    <row r="10" spans="1:7" x14ac:dyDescent="0.3">
      <c r="A10" s="151" t="s">
        <v>19</v>
      </c>
      <c r="B10" s="152">
        <f>_xlfn.XLOOKUP(A10,'[12]Program 10'!$A$7:$A$64,'[12]Program 10'!$B$7:$B$64,,0)</f>
        <v>80.159999999999968</v>
      </c>
      <c r="C10" s="152">
        <f>_xlfn.XLOOKUP(A10,'[12]Program 10'!$A$7:$A$64,'[12]Program 10'!$C$7:$C$64,,0)</f>
        <v>5379191.4533917988</v>
      </c>
      <c r="D10" s="152">
        <f>_xlfn.XLOOKUP(A10,'[12]Program 10'!$A$7:$A$64,'[12]Program 10'!$D$7:$D$64,,0)</f>
        <v>1915425.6587521536</v>
      </c>
      <c r="E10" s="152">
        <f>_xlfn.XLOOKUP(A10,'[12]Program 10'!$A$7:$A$64,'[12]Program 10'!$E$7:$E$64,,0)</f>
        <v>1336303.7156680352</v>
      </c>
      <c r="F10" s="153">
        <f t="shared" si="0"/>
        <v>0.35608058856957026</v>
      </c>
      <c r="G10" s="154">
        <f t="shared" si="1"/>
        <v>16670.455534780886</v>
      </c>
    </row>
    <row r="11" spans="1:7" x14ac:dyDescent="0.3">
      <c r="A11" s="151" t="s">
        <v>6</v>
      </c>
      <c r="B11" s="152">
        <f>_xlfn.XLOOKUP(A11,'[12]Program 10'!$A$7:$A$64,'[12]Program 10'!$B$7:$B$64,,0)</f>
        <v>15.700000000000001</v>
      </c>
      <c r="C11" s="152">
        <f>_xlfn.XLOOKUP(A11,'[12]Program 10'!$A$7:$A$64,'[12]Program 10'!$C$7:$C$64,,0)</f>
        <v>1207132.5370840002</v>
      </c>
      <c r="D11" s="152">
        <f>_xlfn.XLOOKUP(A11,'[12]Program 10'!$A$7:$A$64,'[12]Program 10'!$D$7:$D$64,,0)</f>
        <v>275682.61807215598</v>
      </c>
      <c r="E11" s="152">
        <f>_xlfn.XLOOKUP(A11,'[12]Program 10'!$A$7:$A$64,'[12]Program 10'!$E$7:$E$64,,0)</f>
        <v>387667.99699999997</v>
      </c>
      <c r="F11" s="153">
        <f t="shared" si="0"/>
        <v>0.2283780857552779</v>
      </c>
      <c r="G11" s="154">
        <f t="shared" si="1"/>
        <v>24692.229108280251</v>
      </c>
    </row>
    <row r="12" spans="1:7" x14ac:dyDescent="0.3">
      <c r="A12" s="151" t="s">
        <v>7</v>
      </c>
      <c r="B12" s="152">
        <f>_xlfn.XLOOKUP(A12,'[12]Program 10'!$A$7:$A$64,'[12]Program 10'!$B$7:$B$64,,0)</f>
        <v>9.6499999999999915</v>
      </c>
      <c r="C12" s="152">
        <f>_xlfn.XLOOKUP(A12,'[12]Program 10'!$A$7:$A$64,'[12]Program 10'!$C$7:$C$64,,0)</f>
        <v>507626.95000000019</v>
      </c>
      <c r="D12" s="152">
        <f>_xlfn.XLOOKUP(A12,'[12]Program 10'!$A$7:$A$64,'[12]Program 10'!$D$7:$D$64,,0)</f>
        <v>257113.05017499992</v>
      </c>
      <c r="E12" s="152">
        <f>_xlfn.XLOOKUP(A12,'[12]Program 10'!$A$7:$A$64,'[12]Program 10'!$E$7:$E$64,,0)</f>
        <v>304407.59749999997</v>
      </c>
      <c r="F12" s="153">
        <f t="shared" si="0"/>
        <v>0.50649999999999962</v>
      </c>
      <c r="G12" s="154">
        <f t="shared" si="1"/>
        <v>31544.828756476709</v>
      </c>
    </row>
    <row r="13" spans="1:7" x14ac:dyDescent="0.3">
      <c r="A13" s="151" t="s">
        <v>41</v>
      </c>
      <c r="B13" s="152">
        <f>_xlfn.XLOOKUP(A13,'[12]Program 10'!$A$7:$A$64,'[12]Program 10'!$B$7:$B$64,,0)</f>
        <v>252.60000000000002</v>
      </c>
      <c r="C13" s="152">
        <f>_xlfn.XLOOKUP(A13,'[12]Program 10'!$A$7:$A$64,'[12]Program 10'!$C$7:$C$64,,0)</f>
        <v>22589907.616000026</v>
      </c>
      <c r="D13" s="152">
        <f>_xlfn.XLOOKUP(A13,'[12]Program 10'!$A$7:$A$64,'[12]Program 10'!$D$7:$D$64,,0)</f>
        <v>6587094.2196798073</v>
      </c>
      <c r="E13" s="152">
        <f>_xlfn.XLOOKUP(A13,'[12]Program 10'!$A$7:$A$64,'[12]Program 10'!$E$7:$E$64,,0)</f>
        <v>6884647.5420000199</v>
      </c>
      <c r="F13" s="153">
        <f t="shared" si="0"/>
        <v>0.29159456212270152</v>
      </c>
      <c r="G13" s="154">
        <f t="shared" si="1"/>
        <v>27255.136745843305</v>
      </c>
    </row>
    <row r="14" spans="1:7" x14ac:dyDescent="0.3">
      <c r="A14" s="151" t="s">
        <v>8</v>
      </c>
      <c r="B14" s="152">
        <f>_xlfn.XLOOKUP(A14,'[12]Program 10'!$A$7:$A$64,'[12]Program 10'!$B$7:$B$64,,0)</f>
        <v>18</v>
      </c>
      <c r="C14" s="152">
        <f>_xlfn.XLOOKUP(A14,'[12]Program 10'!$A$7:$A$64,'[12]Program 10'!$C$7:$C$64,,0)</f>
        <v>1160681.2141049996</v>
      </c>
      <c r="D14" s="152">
        <f>_xlfn.XLOOKUP(A14,'[12]Program 10'!$A$7:$A$64,'[12]Program 10'!$D$7:$D$64,,0)</f>
        <v>355008.12378078245</v>
      </c>
      <c r="E14" s="152">
        <f>_xlfn.XLOOKUP(A14,'[12]Program 10'!$A$7:$A$64,'[12]Program 10'!$E$7:$E$64,,0)</f>
        <v>581742.00819944602</v>
      </c>
      <c r="F14" s="153">
        <f t="shared" si="0"/>
        <v>0.30586186755381317</v>
      </c>
      <c r="G14" s="154">
        <f t="shared" si="1"/>
        <v>32319.00045552478</v>
      </c>
    </row>
    <row r="15" spans="1:7" x14ac:dyDescent="0.3">
      <c r="A15" s="151" t="s">
        <v>20</v>
      </c>
      <c r="B15" s="152">
        <f>_xlfn.XLOOKUP(A15,'[12]Program 10'!$A$7:$A$64,'[12]Program 10'!$B$7:$B$64,,0)</f>
        <v>50.900000000000006</v>
      </c>
      <c r="C15" s="152">
        <f>_xlfn.XLOOKUP(A15,'[12]Program 10'!$A$7:$A$64,'[12]Program 10'!$C$7:$C$64,,0)</f>
        <v>3957747.4560000002</v>
      </c>
      <c r="D15" s="152">
        <f>_xlfn.XLOOKUP(A15,'[12]Program 10'!$A$7:$A$64,'[12]Program 10'!$D$7:$D$64,,0)</f>
        <v>1414024.0110796806</v>
      </c>
      <c r="E15" s="152">
        <f>_xlfn.XLOOKUP(A15,'[12]Program 10'!$A$7:$A$64,'[12]Program 10'!$E$7:$E$64,,0)</f>
        <v>1631689.060000001</v>
      </c>
      <c r="F15" s="153">
        <f t="shared" si="0"/>
        <v>0.35728000000000015</v>
      </c>
      <c r="G15" s="154">
        <f t="shared" si="1"/>
        <v>32056.759528487244</v>
      </c>
    </row>
    <row r="16" spans="1:7" x14ac:dyDescent="0.3">
      <c r="A16" s="151" t="s">
        <v>42</v>
      </c>
      <c r="B16" s="152">
        <f>_xlfn.XLOOKUP(A16,'[12]Program 10'!$A$7:$A$64,'[12]Program 10'!$B$7:$B$64,,0)</f>
        <v>417.67500000000013</v>
      </c>
      <c r="C16" s="152">
        <f>_xlfn.XLOOKUP(A16,'[12]Program 10'!$A$7:$A$64,'[12]Program 10'!$C$7:$C$64,,0)</f>
        <v>29859972.363999963</v>
      </c>
      <c r="D16" s="152">
        <f>_xlfn.XLOOKUP(A16,'[12]Program 10'!$A$7:$A$64,'[12]Program 10'!$D$7:$D$64,,0)</f>
        <v>16809070.362674177</v>
      </c>
      <c r="E16" s="152">
        <f>_xlfn.XLOOKUP(A16,'[12]Program 10'!$A$7:$A$64,'[12]Program 10'!$E$7:$E$64,,0)</f>
        <v>7931660.4110135334</v>
      </c>
      <c r="F16" s="153">
        <f t="shared" si="0"/>
        <v>0.56292987005372019</v>
      </c>
      <c r="G16" s="154">
        <f t="shared" si="1"/>
        <v>18990.029115971822</v>
      </c>
    </row>
    <row r="17" spans="1:7" x14ac:dyDescent="0.3">
      <c r="A17" s="151" t="s">
        <v>9</v>
      </c>
      <c r="B17" s="152">
        <f>_xlfn.XLOOKUP(A17,'[12]Program 10'!$A$7:$A$64,'[12]Program 10'!$B$7:$B$64,,0)</f>
        <v>11.55</v>
      </c>
      <c r="C17" s="152">
        <f>_xlfn.XLOOKUP(A17,'[12]Program 10'!$A$7:$A$64,'[12]Program 10'!$C$7:$C$64,,0)</f>
        <v>735560.26650000003</v>
      </c>
      <c r="D17" s="152">
        <f>_xlfn.XLOOKUP(A17,'[12]Program 10'!$A$7:$A$64,'[12]Program 10'!$D$7:$D$64,,0)</f>
        <v>126957.70199789999</v>
      </c>
      <c r="E17" s="152">
        <f>_xlfn.XLOOKUP(A17,'[12]Program 10'!$A$7:$A$64,'[12]Program 10'!$E$7:$E$64,,0)</f>
        <v>476101.163</v>
      </c>
      <c r="F17" s="153">
        <f t="shared" si="0"/>
        <v>0.17259999999999998</v>
      </c>
      <c r="G17" s="154">
        <f t="shared" si="1"/>
        <v>41220.879913419914</v>
      </c>
    </row>
    <row r="18" spans="1:7" x14ac:dyDescent="0.3">
      <c r="A18" s="151" t="s">
        <v>21</v>
      </c>
      <c r="B18" s="152">
        <f>_xlfn.XLOOKUP(A18,'[12]Program 10'!$A$7:$A$64,'[12]Program 10'!$B$7:$B$64,,0)</f>
        <v>53.449999999999996</v>
      </c>
      <c r="C18" s="152">
        <f>_xlfn.XLOOKUP(A18,'[12]Program 10'!$A$7:$A$64,'[12]Program 10'!$C$7:$C$64,,0)</f>
        <v>3824019.6</v>
      </c>
      <c r="D18" s="152">
        <f>_xlfn.XLOOKUP(A18,'[12]Program 10'!$A$7:$A$64,'[12]Program 10'!$D$7:$D$64,,0)</f>
        <v>1499736.3022572303</v>
      </c>
      <c r="E18" s="152">
        <f>_xlfn.XLOOKUP(A18,'[12]Program 10'!$A$7:$A$64,'[12]Program 10'!$E$7:$E$64,,0)</f>
        <v>1183033.1020000007</v>
      </c>
      <c r="F18" s="153">
        <f t="shared" si="0"/>
        <v>0.39218844544029802</v>
      </c>
      <c r="G18" s="154">
        <f t="shared" si="1"/>
        <v>22133.453732460257</v>
      </c>
    </row>
    <row r="19" spans="1:7" x14ac:dyDescent="0.3">
      <c r="A19" s="151" t="s">
        <v>22</v>
      </c>
      <c r="B19" s="152">
        <f>_xlfn.XLOOKUP(A19,'[12]Program 10'!$A$7:$A$64,'[12]Program 10'!$B$7:$B$64,,0)</f>
        <v>74.949999999999974</v>
      </c>
      <c r="C19" s="152">
        <f>_xlfn.XLOOKUP(A19,'[12]Program 10'!$A$7:$A$64,'[12]Program 10'!$C$7:$C$64,,0)</f>
        <v>4106428.2532749139</v>
      </c>
      <c r="D19" s="152">
        <f>_xlfn.XLOOKUP(A19,'[12]Program 10'!$A$7:$A$64,'[12]Program 10'!$D$7:$D$64,,0)</f>
        <v>923271.10939222609</v>
      </c>
      <c r="E19" s="152">
        <f>_xlfn.XLOOKUP(A19,'[12]Program 10'!$A$7:$A$64,'[12]Program 10'!$E$7:$E$64,,0)</f>
        <v>529749.7919999999</v>
      </c>
      <c r="F19" s="153">
        <f t="shared" si="0"/>
        <v>0.22483556327957488</v>
      </c>
      <c r="G19" s="154">
        <f t="shared" si="1"/>
        <v>7068.0425883922626</v>
      </c>
    </row>
    <row r="20" spans="1:7" x14ac:dyDescent="0.3">
      <c r="A20" s="151" t="s">
        <v>10</v>
      </c>
      <c r="B20" s="152">
        <f>_xlfn.XLOOKUP(A20,'[12]Program 10'!$A$7:$A$64,'[12]Program 10'!$B$7:$B$64,,0)</f>
        <v>9.44</v>
      </c>
      <c r="C20" s="152">
        <f>_xlfn.XLOOKUP(A20,'[12]Program 10'!$A$7:$A$64,'[12]Program 10'!$C$7:$C$64,,0)</f>
        <v>803065.08000000054</v>
      </c>
      <c r="D20" s="152">
        <f>_xlfn.XLOOKUP(A20,'[12]Program 10'!$A$7:$A$64,'[12]Program 10'!$D$7:$D$64,,0)</f>
        <v>160211.48345999996</v>
      </c>
      <c r="E20" s="152">
        <f>_xlfn.XLOOKUP(A20,'[12]Program 10'!$A$7:$A$64,'[12]Program 10'!$E$7:$E$64,,0)</f>
        <v>147581.44000000006</v>
      </c>
      <c r="F20" s="153">
        <f t="shared" si="0"/>
        <v>0.19949999999999982</v>
      </c>
      <c r="G20" s="154">
        <f t="shared" si="1"/>
        <v>15633.627118644075</v>
      </c>
    </row>
    <row r="21" spans="1:7" x14ac:dyDescent="0.3">
      <c r="A21" s="151" t="s">
        <v>43</v>
      </c>
      <c r="B21" s="152">
        <f>_xlfn.XLOOKUP(A21,'[12]Program 10'!$A$7:$A$64,'[12]Program 10'!$B$7:$B$64,,0)</f>
        <v>398.5</v>
      </c>
      <c r="C21" s="152">
        <f>_xlfn.XLOOKUP(A21,'[12]Program 10'!$A$7:$A$64,'[12]Program 10'!$C$7:$C$64,,0)</f>
        <v>30659096.281263977</v>
      </c>
      <c r="D21" s="152">
        <f>_xlfn.XLOOKUP(A21,'[12]Program 10'!$A$7:$A$64,'[12]Program 10'!$D$7:$D$64,,0)</f>
        <v>16275818.339693082</v>
      </c>
      <c r="E21" s="152">
        <f>_xlfn.XLOOKUP(A21,'[12]Program 10'!$A$7:$A$64,'[12]Program 10'!$E$7:$E$64,,0)</f>
        <v>8578680.3350000065</v>
      </c>
      <c r="F21" s="153">
        <f t="shared" si="0"/>
        <v>0.53086425608831034</v>
      </c>
      <c r="G21" s="154">
        <f t="shared" si="1"/>
        <v>21527.428695106668</v>
      </c>
    </row>
    <row r="22" spans="1:7" x14ac:dyDescent="0.3">
      <c r="A22" s="151" t="s">
        <v>23</v>
      </c>
      <c r="B22" s="152">
        <f>_xlfn.XLOOKUP(A22,'[12]Program 10'!$A$7:$A$64,'[12]Program 10'!$B$7:$B$64,,0)</f>
        <v>73.5</v>
      </c>
      <c r="C22" s="152">
        <f>_xlfn.XLOOKUP(A22,'[12]Program 10'!$A$7:$A$64,'[12]Program 10'!$C$7:$C$64,,0)</f>
        <v>5247002.3949999996</v>
      </c>
      <c r="D22" s="152">
        <f>_xlfn.XLOOKUP(A22,'[12]Program 10'!$A$7:$A$64,'[12]Program 10'!$D$7:$D$64,,0)</f>
        <v>864181.29445650044</v>
      </c>
      <c r="E22" s="152">
        <f>_xlfn.XLOOKUP(A22,'[12]Program 10'!$A$7:$A$64,'[12]Program 10'!$E$7:$E$64,,0)</f>
        <v>1293456.5839999996</v>
      </c>
      <c r="F22" s="153">
        <f t="shared" si="0"/>
        <v>0.1647000000000001</v>
      </c>
      <c r="G22" s="154">
        <f t="shared" si="1"/>
        <v>17598.048761904756</v>
      </c>
    </row>
    <row r="23" spans="1:7" x14ac:dyDescent="0.3">
      <c r="A23" s="151" t="s">
        <v>24</v>
      </c>
      <c r="B23" s="152">
        <f>_xlfn.XLOOKUP(A23,'[12]Program 10'!$A$7:$A$64,'[12]Program 10'!$B$7:$B$64,,0)</f>
        <v>29.099999999999998</v>
      </c>
      <c r="C23" s="152">
        <f>_xlfn.XLOOKUP(A23,'[12]Program 10'!$A$7:$A$64,'[12]Program 10'!$C$7:$C$64,,0)</f>
        <v>2101894.6</v>
      </c>
      <c r="D23" s="152">
        <f>_xlfn.XLOOKUP(A23,'[12]Program 10'!$A$7:$A$64,'[12]Program 10'!$D$7:$D$64,,0)</f>
        <v>675338.73498000007</v>
      </c>
      <c r="E23" s="152">
        <f>_xlfn.XLOOKUP(A23,'[12]Program 10'!$A$7:$A$64,'[12]Program 10'!$E$7:$E$64,,0)</f>
        <v>465002.86799999996</v>
      </c>
      <c r="F23" s="153">
        <f t="shared" si="0"/>
        <v>0.32130000000000003</v>
      </c>
      <c r="G23" s="154">
        <f t="shared" si="1"/>
        <v>15979.48</v>
      </c>
    </row>
    <row r="24" spans="1:7" x14ac:dyDescent="0.3">
      <c r="A24" s="151" t="s">
        <v>11</v>
      </c>
      <c r="B24" s="152">
        <f>_xlfn.XLOOKUP(A24,'[12]Program 10'!$A$7:$A$64,'[12]Program 10'!$B$7:$B$64,,0)</f>
        <v>13.5</v>
      </c>
      <c r="C24" s="152">
        <f>_xlfn.XLOOKUP(A24,'[12]Program 10'!$A$7:$A$64,'[12]Program 10'!$C$7:$C$64,,0)</f>
        <v>899652.89499999955</v>
      </c>
      <c r="D24" s="152">
        <f>_xlfn.XLOOKUP(A24,'[12]Program 10'!$A$7:$A$64,'[12]Program 10'!$D$7:$D$64,,0)</f>
        <v>153846.68585549996</v>
      </c>
      <c r="E24" s="152">
        <f>_xlfn.XLOOKUP(A24,'[12]Program 10'!$A$7:$A$64,'[12]Program 10'!$E$7:$E$64,,0)</f>
        <v>241463.10999999981</v>
      </c>
      <c r="F24" s="153">
        <f t="shared" si="0"/>
        <v>0.17100671460130193</v>
      </c>
      <c r="G24" s="154">
        <f t="shared" si="1"/>
        <v>17886.156296296282</v>
      </c>
    </row>
    <row r="25" spans="1:7" x14ac:dyDescent="0.3">
      <c r="A25" s="151" t="s">
        <v>54</v>
      </c>
      <c r="B25" s="152">
        <f>_xlfn.XLOOKUP(A25,'[12]Program 10'!$A$7:$A$64,'[12]Program 10'!$B$7:$B$64,,0)</f>
        <v>3439</v>
      </c>
      <c r="C25" s="152">
        <f>_xlfn.XLOOKUP(A25,'[12]Program 10'!$A$7:$A$64,'[12]Program 10'!$C$7:$C$64,,0)</f>
        <v>309925086.13176465</v>
      </c>
      <c r="D25" s="152">
        <f>_xlfn.XLOOKUP(A25,'[12]Program 10'!$A$7:$A$64,'[12]Program 10'!$D$7:$D$64,,0)</f>
        <v>99331146.960449025</v>
      </c>
      <c r="E25" s="152">
        <f>_xlfn.XLOOKUP(A25,'[12]Program 10'!$A$7:$A$64,'[12]Program 10'!$E$7:$E$64,,0)</f>
        <v>101404257.54303308</v>
      </c>
      <c r="F25" s="153">
        <f t="shared" si="0"/>
        <v>0.32050050610688025</v>
      </c>
      <c r="G25" s="154">
        <f t="shared" si="1"/>
        <v>29486.553516438813</v>
      </c>
    </row>
    <row r="26" spans="1:7" x14ac:dyDescent="0.3">
      <c r="A26" s="151" t="s">
        <v>25</v>
      </c>
      <c r="B26" s="152">
        <f>_xlfn.XLOOKUP(A26,'[12]Program 10'!$A$7:$A$64,'[12]Program 10'!$B$7:$B$64,,0)</f>
        <v>79.360000000000014</v>
      </c>
      <c r="C26" s="152">
        <f>_xlfn.XLOOKUP(A26,'[12]Program 10'!$A$7:$A$64,'[12]Program 10'!$C$7:$C$64,,0)</f>
        <v>5874014.4199999999</v>
      </c>
      <c r="D26" s="152">
        <f>_xlfn.XLOOKUP(A26,'[12]Program 10'!$A$7:$A$64,'[12]Program 10'!$D$7:$D$64,,0)</f>
        <v>2298040.9291866003</v>
      </c>
      <c r="E26" s="152">
        <f>_xlfn.XLOOKUP(A26,'[12]Program 10'!$A$7:$A$64,'[12]Program 10'!$E$7:$E$64,,0)</f>
        <v>1037235.2</v>
      </c>
      <c r="F26" s="153">
        <f t="shared" si="0"/>
        <v>0.39122153349882316</v>
      </c>
      <c r="G26" s="154">
        <f t="shared" si="1"/>
        <v>13069.999999999996</v>
      </c>
    </row>
    <row r="27" spans="1:7" x14ac:dyDescent="0.3">
      <c r="A27" s="151" t="s">
        <v>26</v>
      </c>
      <c r="B27" s="152">
        <f>_xlfn.XLOOKUP(A27,'[12]Program 10'!$A$7:$A$64,'[12]Program 10'!$B$7:$B$64,,0)</f>
        <v>62.9</v>
      </c>
      <c r="C27" s="152">
        <f>_xlfn.XLOOKUP(A27,'[12]Program 10'!$A$7:$A$64,'[12]Program 10'!$C$7:$C$64,,0)</f>
        <v>6199993.6045000032</v>
      </c>
      <c r="D27" s="152">
        <f>_xlfn.XLOOKUP(A27,'[12]Program 10'!$A$7:$A$64,'[12]Program 10'!$D$7:$D$64,,0)</f>
        <v>1370825.4517703499</v>
      </c>
      <c r="E27" s="152">
        <f>_xlfn.XLOOKUP(A27,'[12]Program 10'!$A$7:$A$64,'[12]Program 10'!$E$7:$E$64,,0)</f>
        <v>1535983.4049999986</v>
      </c>
      <c r="F27" s="153">
        <f t="shared" si="0"/>
        <v>0.22110110739072283</v>
      </c>
      <c r="G27" s="154">
        <f t="shared" si="1"/>
        <v>24419.449999999979</v>
      </c>
    </row>
    <row r="28" spans="1:7" x14ac:dyDescent="0.3">
      <c r="A28" s="151" t="s">
        <v>12</v>
      </c>
      <c r="B28" s="152">
        <f>_xlfn.XLOOKUP(A28,'[12]Program 10'!$A$7:$A$64,'[12]Program 10'!$B$7:$B$64,,0)</f>
        <v>8.1999999999999993</v>
      </c>
      <c r="C28" s="152">
        <f>_xlfn.XLOOKUP(A28,'[12]Program 10'!$A$7:$A$64,'[12]Program 10'!$C$7:$C$64,,0)</f>
        <v>529659.75</v>
      </c>
      <c r="D28" s="152">
        <f>_xlfn.XLOOKUP(A28,'[12]Program 10'!$A$7:$A$64,'[12]Program 10'!$D$7:$D$64,,0)</f>
        <v>166200.70714300001</v>
      </c>
      <c r="E28" s="152">
        <f>_xlfn.XLOOKUP(A28,'[12]Program 10'!$A$7:$A$64,'[12]Program 10'!$E$7:$E$64,,0)</f>
        <v>138349.50000000003</v>
      </c>
      <c r="F28" s="153">
        <f t="shared" si="0"/>
        <v>0.31378768566612814</v>
      </c>
      <c r="G28" s="154">
        <f t="shared" si="1"/>
        <v>16871.890243902442</v>
      </c>
    </row>
    <row r="29" spans="1:7" x14ac:dyDescent="0.3">
      <c r="A29" s="151" t="s">
        <v>27</v>
      </c>
      <c r="B29" s="152">
        <f>_xlfn.XLOOKUP(A29,'[12]Program 10'!$A$7:$A$64,'[12]Program 10'!$B$7:$B$64,,0)</f>
        <v>42.9</v>
      </c>
      <c r="C29" s="152">
        <f>_xlfn.XLOOKUP(A29,'[12]Program 10'!$A$7:$A$64,'[12]Program 10'!$C$7:$C$64,,0)</f>
        <v>3308203.8</v>
      </c>
      <c r="D29" s="152">
        <f>_xlfn.XLOOKUP(A29,'[12]Program 10'!$A$7:$A$64,'[12]Program 10'!$D$7:$D$64,,0)</f>
        <v>1510453.0221341997</v>
      </c>
      <c r="E29" s="152">
        <f>_xlfn.XLOOKUP(A29,'[12]Program 10'!$A$7:$A$64,'[12]Program 10'!$E$7:$E$64,,0)</f>
        <v>850873.29900000093</v>
      </c>
      <c r="F29" s="153">
        <f t="shared" si="0"/>
        <v>0.45657798414178707</v>
      </c>
      <c r="G29" s="154">
        <f t="shared" si="1"/>
        <v>19833.876433566456</v>
      </c>
    </row>
    <row r="30" spans="1:7" x14ac:dyDescent="0.3">
      <c r="A30" s="151" t="s">
        <v>28</v>
      </c>
      <c r="B30" s="152">
        <f>_xlfn.XLOOKUP(A30,'[12]Program 10'!$A$7:$A$64,'[12]Program 10'!$B$7:$B$64,,0)</f>
        <v>103.5</v>
      </c>
      <c r="C30" s="152">
        <f>_xlfn.XLOOKUP(A30,'[12]Program 10'!$A$7:$A$64,'[12]Program 10'!$C$7:$C$64,,0)</f>
        <v>6869154.2599999998</v>
      </c>
      <c r="D30" s="152">
        <f>_xlfn.XLOOKUP(A30,'[12]Program 10'!$A$7:$A$64,'[12]Program 10'!$D$7:$D$64,,0)</f>
        <v>3372732.675654998</v>
      </c>
      <c r="E30" s="152">
        <f>_xlfn.XLOOKUP(A30,'[12]Program 10'!$A$7:$A$64,'[12]Program 10'!$E$7:$E$64,,0)</f>
        <v>2106631.5890000006</v>
      </c>
      <c r="F30" s="153">
        <f t="shared" si="0"/>
        <v>0.49099678766786031</v>
      </c>
      <c r="G30" s="154">
        <f t="shared" si="1"/>
        <v>20353.92839613527</v>
      </c>
    </row>
    <row r="31" spans="1:7" x14ac:dyDescent="0.3">
      <c r="A31" s="151" t="s">
        <v>13</v>
      </c>
      <c r="B31" s="152">
        <f>_xlfn.XLOOKUP(A31,'[12]Program 10'!$A$7:$A$64,'[12]Program 10'!$B$7:$B$64,,0)</f>
        <v>7.2</v>
      </c>
      <c r="C31" s="152">
        <f>_xlfn.XLOOKUP(A31,'[12]Program 10'!$A$7:$A$64,'[12]Program 10'!$C$7:$C$64,,0)</f>
        <v>438446.29800000001</v>
      </c>
      <c r="D31" s="152">
        <f>_xlfn.XLOOKUP(A31,'[12]Program 10'!$A$7:$A$64,'[12]Program 10'!$D$7:$D$64,,0)</f>
        <v>164870.5430802</v>
      </c>
      <c r="E31" s="152">
        <f>_xlfn.XLOOKUP(A31,'[12]Program 10'!$A$7:$A$64,'[12]Program 10'!$E$7:$E$64,,0)</f>
        <v>141156.76400000002</v>
      </c>
      <c r="F31" s="153">
        <f t="shared" si="0"/>
        <v>0.37603360738194669</v>
      </c>
      <c r="G31" s="154">
        <f t="shared" si="1"/>
        <v>19605.106111111116</v>
      </c>
    </row>
    <row r="32" spans="1:7" x14ac:dyDescent="0.3">
      <c r="A32" s="151" t="s">
        <v>14</v>
      </c>
      <c r="B32" s="152">
        <f>_xlfn.XLOOKUP(A32,'[12]Program 10'!$A$7:$A$64,'[12]Program 10'!$B$7:$B$64,,0)</f>
        <v>7.2000000000000011</v>
      </c>
      <c r="C32" s="152">
        <f>_xlfn.XLOOKUP(A32,'[12]Program 10'!$A$7:$A$64,'[12]Program 10'!$C$7:$C$64,,0)</f>
        <v>476228.94121772487</v>
      </c>
      <c r="D32" s="152">
        <f>_xlfn.XLOOKUP(A32,'[12]Program 10'!$A$7:$A$64,'[12]Program 10'!$D$7:$D$64,,0)</f>
        <v>154870.6701622332</v>
      </c>
      <c r="E32" s="152">
        <f>_xlfn.XLOOKUP(A32,'[12]Program 10'!$A$7:$A$64,'[12]Program 10'!$E$7:$E$64,,0)</f>
        <v>192553.7</v>
      </c>
      <c r="F32" s="153">
        <f t="shared" si="0"/>
        <v>0.32520213863152975</v>
      </c>
      <c r="G32" s="154">
        <f t="shared" si="1"/>
        <v>26743.569444444442</v>
      </c>
    </row>
    <row r="33" spans="1:7" x14ac:dyDescent="0.3">
      <c r="A33" s="151" t="s">
        <v>44</v>
      </c>
      <c r="B33" s="152">
        <f>_xlfn.XLOOKUP(A33,'[12]Program 10'!$A$7:$A$64,'[12]Program 10'!$B$7:$B$64,,0)</f>
        <v>139.6</v>
      </c>
      <c r="C33" s="152">
        <f>_xlfn.XLOOKUP(A33,'[12]Program 10'!$A$7:$A$64,'[12]Program 10'!$C$7:$C$64,,0)</f>
        <v>10901969.312000005</v>
      </c>
      <c r="D33" s="152">
        <f>_xlfn.XLOOKUP(A33,'[12]Program 10'!$A$7:$A$64,'[12]Program 10'!$D$7:$D$64,,0)</f>
        <v>1804296.3338719986</v>
      </c>
      <c r="E33" s="152">
        <f>_xlfn.XLOOKUP(A33,'[12]Program 10'!$A$7:$A$64,'[12]Program 10'!$E$7:$E$64,,0)</f>
        <v>4205434.3501322325</v>
      </c>
      <c r="F33" s="153">
        <f t="shared" si="0"/>
        <v>0.16550187238978697</v>
      </c>
      <c r="G33" s="154">
        <f t="shared" si="1"/>
        <v>30124.887894930034</v>
      </c>
    </row>
    <row r="34" spans="1:7" x14ac:dyDescent="0.3">
      <c r="A34" s="151" t="s">
        <v>29</v>
      </c>
      <c r="B34" s="152">
        <f>_xlfn.XLOOKUP(A34,'[12]Program 10'!$A$7:$A$64,'[12]Program 10'!$B$7:$B$64,,0)</f>
        <v>45.4</v>
      </c>
      <c r="C34" s="152">
        <f>_xlfn.XLOOKUP(A34,'[12]Program 10'!$A$7:$A$64,'[12]Program 10'!$C$7:$C$64,,0)</f>
        <v>3937767.6</v>
      </c>
      <c r="D34" s="152">
        <f>_xlfn.XLOOKUP(A34,'[12]Program 10'!$A$7:$A$64,'[12]Program 10'!$D$7:$D$64,,0)</f>
        <v>1090527.7449800002</v>
      </c>
      <c r="E34" s="152">
        <f>_xlfn.XLOOKUP(A34,'[12]Program 10'!$A$7:$A$64,'[12]Program 10'!$E$7:$E$64,,0)</f>
        <v>1147605.4549999996</v>
      </c>
      <c r="F34" s="153">
        <f t="shared" si="0"/>
        <v>0.27694060588542607</v>
      </c>
      <c r="G34" s="154">
        <f t="shared" si="1"/>
        <v>25277.65319383259</v>
      </c>
    </row>
    <row r="35" spans="1:7" x14ac:dyDescent="0.3">
      <c r="A35" s="151" t="s">
        <v>30</v>
      </c>
      <c r="B35" s="152">
        <f>_xlfn.XLOOKUP(A35,'[12]Program 10'!$A$7:$A$64,'[12]Program 10'!$B$7:$B$64,,0)</f>
        <v>39.03</v>
      </c>
      <c r="C35" s="152">
        <f>_xlfn.XLOOKUP(A35,'[12]Program 10'!$A$7:$A$64,'[12]Program 10'!$C$7:$C$64,,0)</f>
        <v>2810485.9899466392</v>
      </c>
      <c r="D35" s="152">
        <f>_xlfn.XLOOKUP(A35,'[12]Program 10'!$A$7:$A$64,'[12]Program 10'!$D$7:$D$64,,0)</f>
        <v>1318813.4370662456</v>
      </c>
      <c r="E35" s="152">
        <f>_xlfn.XLOOKUP(A35,'[12]Program 10'!$A$7:$A$64,'[12]Program 10'!$E$7:$E$64,,0)</f>
        <v>935247.02306666656</v>
      </c>
      <c r="F35" s="153">
        <f t="shared" si="0"/>
        <v>0.46924746886615332</v>
      </c>
      <c r="G35" s="154">
        <f t="shared" si="1"/>
        <v>23962.2603911521</v>
      </c>
    </row>
    <row r="36" spans="1:7" x14ac:dyDescent="0.3">
      <c r="A36" s="151" t="s">
        <v>55</v>
      </c>
      <c r="B36" s="152">
        <f>_xlfn.XLOOKUP(A36,'[12]Program 10'!$A$7:$A$64,'[12]Program 10'!$B$7:$B$64,,0)</f>
        <v>1129.4599999999994</v>
      </c>
      <c r="C36" s="152">
        <f>_xlfn.XLOOKUP(A36,'[12]Program 10'!$A$7:$A$64,'[12]Program 10'!$C$7:$C$64,,0)</f>
        <v>105976121.75494352</v>
      </c>
      <c r="D36" s="152">
        <f>_xlfn.XLOOKUP(A36,'[12]Program 10'!$A$7:$A$64,'[12]Program 10'!$D$7:$D$64,,0)</f>
        <v>41189936.338174984</v>
      </c>
      <c r="E36" s="152">
        <f>_xlfn.XLOOKUP(A36,'[12]Program 10'!$A$7:$A$64,'[12]Program 10'!$E$7:$E$64,,0)</f>
        <v>19123366.57121991</v>
      </c>
      <c r="F36" s="153">
        <f t="shared" si="0"/>
        <v>0.38867185981217112</v>
      </c>
      <c r="G36" s="154">
        <f t="shared" si="1"/>
        <v>16931.424372018417</v>
      </c>
    </row>
    <row r="37" spans="1:7" x14ac:dyDescent="0.3">
      <c r="A37" s="151" t="s">
        <v>31</v>
      </c>
      <c r="B37" s="152">
        <f>_xlfn.XLOOKUP(A37,'[12]Program 10'!$A$7:$A$64,'[12]Program 10'!$B$7:$B$64,,0)</f>
        <v>121.3</v>
      </c>
      <c r="C37" s="152">
        <f>_xlfn.XLOOKUP(A37,'[12]Program 10'!$A$7:$A$64,'[12]Program 10'!$C$7:$C$64,,0)</f>
        <v>10804571.988399999</v>
      </c>
      <c r="D37" s="152">
        <f>_xlfn.XLOOKUP(A37,'[12]Program 10'!$A$7:$A$64,'[12]Program 10'!$D$7:$D$64,,0)</f>
        <v>4421901.7836045604</v>
      </c>
      <c r="E37" s="152">
        <f>_xlfn.XLOOKUP(A37,'[12]Program 10'!$A$7:$A$64,'[12]Program 10'!$E$7:$E$64,,0)</f>
        <v>3793774.3</v>
      </c>
      <c r="F37" s="153">
        <f t="shared" si="0"/>
        <v>0.40926209648582113</v>
      </c>
      <c r="G37" s="154">
        <f t="shared" si="1"/>
        <v>31275.962901896124</v>
      </c>
    </row>
    <row r="38" spans="1:7" x14ac:dyDescent="0.3">
      <c r="A38" s="151" t="s">
        <v>15</v>
      </c>
      <c r="B38" s="152">
        <f>_xlfn.XLOOKUP(A38,'[12]Program 10'!$A$7:$A$64,'[12]Program 10'!$B$7:$B$64,,0)</f>
        <v>6.6999999999999993</v>
      </c>
      <c r="C38" s="152">
        <f>_xlfn.XLOOKUP(A38,'[12]Program 10'!$A$7:$A$64,'[12]Program 10'!$C$7:$C$64,,0)</f>
        <v>531280.43999999994</v>
      </c>
      <c r="D38" s="152">
        <f>_xlfn.XLOOKUP(A38,'[12]Program 10'!$A$7:$A$64,'[12]Program 10'!$D$7:$D$64,,0)</f>
        <v>207617.79881999997</v>
      </c>
      <c r="E38" s="152">
        <f>_xlfn.XLOOKUP(A38,'[12]Program 10'!$A$7:$A$64,'[12]Program 10'!$E$7:$E$64,,0)</f>
        <v>363961.39599999995</v>
      </c>
      <c r="F38" s="153">
        <f t="shared" si="0"/>
        <v>0.39078758258067997</v>
      </c>
      <c r="G38" s="154">
        <f t="shared" si="1"/>
        <v>54322.596417910449</v>
      </c>
    </row>
    <row r="39" spans="1:7" x14ac:dyDescent="0.3">
      <c r="A39" s="151" t="s">
        <v>56</v>
      </c>
      <c r="B39" s="152">
        <f>_xlfn.XLOOKUP(A39,'[12]Program 10'!$A$7:$A$64,'[12]Program 10'!$B$7:$B$64,,0)</f>
        <v>768.61999999999989</v>
      </c>
      <c r="C39" s="152">
        <f>_xlfn.XLOOKUP(A39,'[12]Program 10'!$A$7:$A$64,'[12]Program 10'!$C$7:$C$64,,0)</f>
        <v>69210746.321599975</v>
      </c>
      <c r="D39" s="152">
        <f>_xlfn.XLOOKUP(A39,'[12]Program 10'!$A$7:$A$64,'[12]Program 10'!$D$7:$D$64,,0)</f>
        <v>18680352.013636321</v>
      </c>
      <c r="E39" s="152">
        <f>_xlfn.XLOOKUP(A39,'[12]Program 10'!$A$7:$A$64,'[12]Program 10'!$E$7:$E$64,,0)</f>
        <v>28430501.278200291</v>
      </c>
      <c r="F39" s="153">
        <f t="shared" si="0"/>
        <v>0.26990536884019078</v>
      </c>
      <c r="G39" s="154">
        <f t="shared" si="1"/>
        <v>36989.020944290147</v>
      </c>
    </row>
    <row r="40" spans="1:7" x14ac:dyDescent="0.3">
      <c r="A40" s="151" t="s">
        <v>57</v>
      </c>
      <c r="B40" s="152">
        <f>_xlfn.XLOOKUP(A40,'[12]Program 10'!$A$7:$A$64,'[12]Program 10'!$B$7:$B$64,,0)</f>
        <v>551.39</v>
      </c>
      <c r="C40" s="152">
        <f>_xlfn.XLOOKUP(A40,'[12]Program 10'!$A$7:$A$64,'[12]Program 10'!$C$7:$C$64,,0)</f>
        <v>52158280.074752636</v>
      </c>
      <c r="D40" s="152">
        <f>_xlfn.XLOOKUP(A40,'[12]Program 10'!$A$7:$A$64,'[12]Program 10'!$D$7:$D$64,,0)</f>
        <v>20152185.665177401</v>
      </c>
      <c r="E40" s="152">
        <f>_xlfn.XLOOKUP(A40,'[12]Program 10'!$A$7:$A$64,'[12]Program 10'!$E$7:$E$64,,0)</f>
        <v>12782553.557300095</v>
      </c>
      <c r="F40" s="153">
        <f t="shared" si="0"/>
        <v>0.38636599282598133</v>
      </c>
      <c r="G40" s="154">
        <f t="shared" si="1"/>
        <v>23182.418174613424</v>
      </c>
    </row>
    <row r="41" spans="1:7" x14ac:dyDescent="0.3">
      <c r="A41" s="151" t="s">
        <v>16</v>
      </c>
      <c r="B41" s="152">
        <f>_xlfn.XLOOKUP(A41,'[12]Program 10'!$A$7:$A$64,'[12]Program 10'!$B$7:$B$64,,0)</f>
        <v>24.7</v>
      </c>
      <c r="C41" s="152">
        <f>_xlfn.XLOOKUP(A41,'[12]Program 10'!$A$7:$A$64,'[12]Program 10'!$C$7:$C$64,,0)</f>
        <v>1907457.9400000002</v>
      </c>
      <c r="D41" s="152">
        <f>_xlfn.XLOOKUP(A41,'[12]Program 10'!$A$7:$A$64,'[12]Program 10'!$D$7:$D$64,,0)</f>
        <v>333423.64791200007</v>
      </c>
      <c r="E41" s="152">
        <f>_xlfn.XLOOKUP(A41,'[12]Program 10'!$A$7:$A$64,'[12]Program 10'!$E$7:$E$64,,0)</f>
        <v>432654.44799999997</v>
      </c>
      <c r="F41" s="153">
        <f t="shared" si="0"/>
        <v>0.17480000000000001</v>
      </c>
      <c r="G41" s="154">
        <f t="shared" si="1"/>
        <v>17516.374412955465</v>
      </c>
    </row>
    <row r="42" spans="1:7" x14ac:dyDescent="0.3">
      <c r="A42" s="151" t="s">
        <v>58</v>
      </c>
      <c r="B42" s="152">
        <f>_xlfn.XLOOKUP(A42,'[12]Program 10'!$A$7:$A$64,'[12]Program 10'!$B$7:$B$64,,0)</f>
        <v>883.82</v>
      </c>
      <c r="C42" s="152">
        <f>_xlfn.XLOOKUP(A42,'[12]Program 10'!$A$7:$A$64,'[12]Program 10'!$C$7:$C$64,,0)</f>
        <v>75118547.44559975</v>
      </c>
      <c r="D42" s="152">
        <f>_xlfn.XLOOKUP(A42,'[12]Program 10'!$A$7:$A$64,'[12]Program 10'!$D$7:$D$64,,0)</f>
        <v>17826964.590542242</v>
      </c>
      <c r="E42" s="152">
        <f>_xlfn.XLOOKUP(A42,'[12]Program 10'!$A$7:$A$64,'[12]Program 10'!$E$7:$E$64,,0)</f>
        <v>14917335.81620156</v>
      </c>
      <c r="F42" s="153">
        <f t="shared" si="0"/>
        <v>0.23731774903464936</v>
      </c>
      <c r="G42" s="154">
        <f t="shared" si="1"/>
        <v>16878.251019666401</v>
      </c>
    </row>
    <row r="43" spans="1:7" x14ac:dyDescent="0.3">
      <c r="A43" s="151" t="s">
        <v>59</v>
      </c>
      <c r="B43" s="152">
        <f>_xlfn.XLOOKUP(A43,'[12]Program 10'!$A$7:$A$64,'[12]Program 10'!$B$7:$B$64,,0)</f>
        <v>885.76</v>
      </c>
      <c r="C43" s="152">
        <f>_xlfn.XLOOKUP(A43,'[12]Program 10'!$A$7:$A$64,'[12]Program 10'!$C$7:$C$64,,0)</f>
        <v>75682538.490000159</v>
      </c>
      <c r="D43" s="152">
        <f>_xlfn.XLOOKUP(A43,'[12]Program 10'!$A$7:$A$64,'[12]Program 10'!$D$7:$D$64,,0)</f>
        <v>36938557.801941991</v>
      </c>
      <c r="E43" s="152">
        <f>_xlfn.XLOOKUP(A43,'[12]Program 10'!$A$7:$A$64,'[12]Program 10'!$E$7:$E$64,,0)</f>
        <v>25983611.658436887</v>
      </c>
      <c r="F43" s="153">
        <f t="shared" si="0"/>
        <v>0.48807239475486985</v>
      </c>
      <c r="G43" s="154">
        <f t="shared" si="1"/>
        <v>29334.821688083553</v>
      </c>
    </row>
    <row r="44" spans="1:7" x14ac:dyDescent="0.3">
      <c r="A44" s="151" t="s">
        <v>60</v>
      </c>
      <c r="B44" s="152">
        <f>_xlfn.XLOOKUP(A44,'[12]Program 10'!$A$7:$A$64,'[12]Program 10'!$B$7:$B$64,,0)</f>
        <v>370.9</v>
      </c>
      <c r="C44" s="152">
        <f>_xlfn.XLOOKUP(A44,'[12]Program 10'!$A$7:$A$64,'[12]Program 10'!$C$7:$C$64,,0)</f>
        <v>37719885.752619132</v>
      </c>
      <c r="D44" s="152">
        <f>_xlfn.XLOOKUP(A44,'[12]Program 10'!$A$7:$A$64,'[12]Program 10'!$D$7:$D$64,,0)</f>
        <v>11631166.387747036</v>
      </c>
      <c r="E44" s="152">
        <f>_xlfn.XLOOKUP(A44,'[12]Program 10'!$A$7:$A$64,'[12]Program 10'!$E$7:$E$64,,0)</f>
        <v>14493993.347100038</v>
      </c>
      <c r="F44" s="153">
        <f t="shared" si="0"/>
        <v>0.30835635250935006</v>
      </c>
      <c r="G44" s="154">
        <f t="shared" si="1"/>
        <v>39077.900639255968</v>
      </c>
    </row>
    <row r="45" spans="1:7" x14ac:dyDescent="0.3">
      <c r="A45" s="151" t="s">
        <v>45</v>
      </c>
      <c r="B45" s="152">
        <f>_xlfn.XLOOKUP(A45,'[12]Program 10'!$A$7:$A$64,'[12]Program 10'!$B$7:$B$64,,0)</f>
        <v>301.11499999999995</v>
      </c>
      <c r="C45" s="152">
        <f>_xlfn.XLOOKUP(A45,'[12]Program 10'!$A$7:$A$64,'[12]Program 10'!$C$7:$C$64,,0)</f>
        <v>23689823.073549997</v>
      </c>
      <c r="D45" s="152">
        <f>_xlfn.XLOOKUP(A45,'[12]Program 10'!$A$7:$A$64,'[12]Program 10'!$D$7:$D$64,,0)</f>
        <v>12071320.631423106</v>
      </c>
      <c r="E45" s="152">
        <f>_xlfn.XLOOKUP(A45,'[12]Program 10'!$A$7:$A$64,'[12]Program 10'!$E$7:$E$64,,0)</f>
        <v>5432797.3283999972</v>
      </c>
      <c r="F45" s="153">
        <f t="shared" si="0"/>
        <v>0.50955723029020406</v>
      </c>
      <c r="G45" s="154">
        <f t="shared" si="1"/>
        <v>18042.267334407115</v>
      </c>
    </row>
    <row r="46" spans="1:7" x14ac:dyDescent="0.3">
      <c r="A46" s="151" t="s">
        <v>32</v>
      </c>
      <c r="B46" s="152">
        <f>_xlfn.XLOOKUP(A46,'[12]Program 10'!$A$7:$A$64,'[12]Program 10'!$B$7:$B$64,,0)</f>
        <v>94.600000000000009</v>
      </c>
      <c r="C46" s="152">
        <f>_xlfn.XLOOKUP(A46,'[12]Program 10'!$A$7:$A$64,'[12]Program 10'!$C$7:$C$64,,0)</f>
        <v>8230709.4999999963</v>
      </c>
      <c r="D46" s="152">
        <f>_xlfn.XLOOKUP(A46,'[12]Program 10'!$A$7:$A$64,'[12]Program 10'!$D$7:$D$64,,0)</f>
        <v>4099058.7713780012</v>
      </c>
      <c r="E46" s="152">
        <f>_xlfn.XLOOKUP(A46,'[12]Program 10'!$A$7:$A$64,'[12]Program 10'!$E$7:$E$64,,0)</f>
        <v>1743895.511999998</v>
      </c>
      <c r="F46" s="153">
        <f t="shared" si="0"/>
        <v>0.49802010037871014</v>
      </c>
      <c r="G46" s="154">
        <f t="shared" si="1"/>
        <v>18434.413446088773</v>
      </c>
    </row>
    <row r="47" spans="1:7" x14ac:dyDescent="0.3">
      <c r="A47" s="151" t="s">
        <v>46</v>
      </c>
      <c r="B47" s="152">
        <f>_xlfn.XLOOKUP(A47,'[12]Program 10'!$A$7:$A$64,'[12]Program 10'!$B$7:$B$64,,0)</f>
        <v>188.09999999999997</v>
      </c>
      <c r="C47" s="152">
        <f>_xlfn.XLOOKUP(A47,'[12]Program 10'!$A$7:$A$64,'[12]Program 10'!$C$7:$C$64,,0)</f>
        <v>19745307.558196086</v>
      </c>
      <c r="D47" s="152">
        <f>_xlfn.XLOOKUP(A47,'[12]Program 10'!$A$7:$A$64,'[12]Program 10'!$D$7:$D$64,,0)</f>
        <v>6655842.1974524027</v>
      </c>
      <c r="E47" s="152">
        <f>_xlfn.XLOOKUP(A47,'[12]Program 10'!$A$7:$A$64,'[12]Program 10'!$E$7:$E$64,,0)</f>
        <v>5479541.1000000006</v>
      </c>
      <c r="F47" s="153">
        <f t="shared" si="0"/>
        <v>0.33708475686364414</v>
      </c>
      <c r="G47" s="154">
        <f t="shared" si="1"/>
        <v>29131.000000000007</v>
      </c>
    </row>
    <row r="48" spans="1:7" x14ac:dyDescent="0.3">
      <c r="A48" s="151" t="s">
        <v>47</v>
      </c>
      <c r="B48" s="152">
        <f>_xlfn.XLOOKUP(A48,'[12]Program 10'!$A$7:$A$64,'[12]Program 10'!$B$7:$B$64,,0)</f>
        <v>169.89999999999998</v>
      </c>
      <c r="C48" s="152">
        <f>_xlfn.XLOOKUP(A48,'[12]Program 10'!$A$7:$A$64,'[12]Program 10'!$C$7:$C$64,,0)</f>
        <v>13631641.056000018</v>
      </c>
      <c r="D48" s="152">
        <f>_xlfn.XLOOKUP(A48,'[12]Program 10'!$A$7:$A$64,'[12]Program 10'!$D$7:$D$64,,0)</f>
        <v>5685831.4497550419</v>
      </c>
      <c r="E48" s="152">
        <f>_xlfn.XLOOKUP(A48,'[12]Program 10'!$A$7:$A$64,'[12]Program 10'!$E$7:$E$64,,0)</f>
        <v>3717079.7</v>
      </c>
      <c r="F48" s="153">
        <f t="shared" si="0"/>
        <v>0.4171054260009584</v>
      </c>
      <c r="G48" s="154">
        <f t="shared" si="1"/>
        <v>21878.044143613894</v>
      </c>
    </row>
    <row r="49" spans="1:7" x14ac:dyDescent="0.3">
      <c r="A49" s="151" t="s">
        <v>61</v>
      </c>
      <c r="B49" s="152">
        <f>_xlfn.XLOOKUP(A49,'[12]Program 10'!$A$7:$A$64,'[12]Program 10'!$B$7:$B$64,,0)</f>
        <v>384.00000000000028</v>
      </c>
      <c r="C49" s="152">
        <f>_xlfn.XLOOKUP(A49,'[12]Program 10'!$A$7:$A$64,'[12]Program 10'!$C$7:$C$64,,0)</f>
        <v>41030967.764973752</v>
      </c>
      <c r="D49" s="152">
        <f>_xlfn.XLOOKUP(A49,'[12]Program 10'!$A$7:$A$64,'[12]Program 10'!$D$7:$D$64,,0)</f>
        <v>15057751.937195979</v>
      </c>
      <c r="E49" s="152">
        <f>_xlfn.XLOOKUP(A49,'[12]Program 10'!$A$7:$A$64,'[12]Program 10'!$E$7:$E$64,,0)</f>
        <v>10212993.579598652</v>
      </c>
      <c r="F49" s="153">
        <f t="shared" si="0"/>
        <v>0.36698505439713486</v>
      </c>
      <c r="G49" s="154">
        <f t="shared" si="1"/>
        <v>26596.337446871472</v>
      </c>
    </row>
    <row r="50" spans="1:7" x14ac:dyDescent="0.3">
      <c r="A50" s="151" t="s">
        <v>33</v>
      </c>
      <c r="B50" s="152">
        <f>_xlfn.XLOOKUP(A50,'[12]Program 10'!$A$7:$A$64,'[12]Program 10'!$B$7:$B$64,,0)</f>
        <v>84.200000000000017</v>
      </c>
      <c r="C50" s="152">
        <f>_xlfn.XLOOKUP(A50,'[12]Program 10'!$A$7:$A$64,'[12]Program 10'!$C$7:$C$64,,0)</f>
        <v>7299789.4600000018</v>
      </c>
      <c r="D50" s="152">
        <f>_xlfn.XLOOKUP(A50,'[12]Program 10'!$A$7:$A$64,'[12]Program 10'!$D$7:$D$64,,0)</f>
        <v>2758963.4564719987</v>
      </c>
      <c r="E50" s="152">
        <f>_xlfn.XLOOKUP(A50,'[12]Program 10'!$A$7:$A$64,'[12]Program 10'!$E$7:$E$64,,0)</f>
        <v>2091148.8377853034</v>
      </c>
      <c r="F50" s="153">
        <f t="shared" si="0"/>
        <v>0.37795110004063021</v>
      </c>
      <c r="G50" s="154">
        <f t="shared" si="1"/>
        <v>24835.496885811197</v>
      </c>
    </row>
    <row r="51" spans="1:7" x14ac:dyDescent="0.3">
      <c r="A51" s="151" t="s">
        <v>34</v>
      </c>
      <c r="B51" s="152">
        <f>_xlfn.XLOOKUP(A51,'[12]Program 10'!$A$7:$A$64,'[12]Program 10'!$B$7:$B$64,,0)</f>
        <v>103.49999999999997</v>
      </c>
      <c r="C51" s="152">
        <f>_xlfn.XLOOKUP(A51,'[12]Program 10'!$A$7:$A$64,'[12]Program 10'!$C$7:$C$64,,0)</f>
        <v>7496325.9630000005</v>
      </c>
      <c r="D51" s="152">
        <f>_xlfn.XLOOKUP(A51,'[12]Program 10'!$A$7:$A$64,'[12]Program 10'!$D$7:$D$64,,0)</f>
        <v>1250195.1583805003</v>
      </c>
      <c r="E51" s="152">
        <f>_xlfn.XLOOKUP(A51,'[12]Program 10'!$A$7:$A$64,'[12]Program 10'!$E$7:$E$64,,0)</f>
        <v>2777479.5</v>
      </c>
      <c r="F51" s="153">
        <f t="shared" si="0"/>
        <v>0.166774385819287</v>
      </c>
      <c r="G51" s="154">
        <f t="shared" si="1"/>
        <v>26835.550724637687</v>
      </c>
    </row>
    <row r="52" spans="1:7" x14ac:dyDescent="0.3">
      <c r="A52" s="151" t="s">
        <v>17</v>
      </c>
      <c r="B52" s="152">
        <f>_xlfn.XLOOKUP(A52,'[12]Program 10'!$A$7:$A$64,'[12]Program 10'!$B$7:$B$64,,0)</f>
        <v>2.4500000000000002</v>
      </c>
      <c r="C52" s="152">
        <f>_xlfn.XLOOKUP(A52,'[12]Program 10'!$A$7:$A$64,'[12]Program 10'!$C$7:$C$64,,0)</f>
        <v>157534.98799999998</v>
      </c>
      <c r="D52" s="152">
        <f>_xlfn.XLOOKUP(A52,'[12]Program 10'!$A$7:$A$64,'[12]Program 10'!$D$7:$D$64,,0)</f>
        <v>46783.2468544</v>
      </c>
      <c r="E52" s="152">
        <f>_xlfn.XLOOKUP(A52,'[12]Program 10'!$A$7:$A$64,'[12]Program 10'!$E$7:$E$64,,0)</f>
        <v>97024.515000000014</v>
      </c>
      <c r="F52" s="153">
        <f t="shared" si="0"/>
        <v>0.29697051714251571</v>
      </c>
      <c r="G52" s="154">
        <f t="shared" si="1"/>
        <v>39601.842857142859</v>
      </c>
    </row>
    <row r="53" spans="1:7" x14ac:dyDescent="0.3">
      <c r="A53" s="151" t="s">
        <v>35</v>
      </c>
      <c r="B53" s="152">
        <f>_xlfn.XLOOKUP(A53,'[12]Program 10'!$A$7:$A$64,'[12]Program 10'!$B$7:$B$64,,0)</f>
        <v>20.949999999999996</v>
      </c>
      <c r="C53" s="152">
        <f>_xlfn.XLOOKUP(A53,'[12]Program 10'!$A$7:$A$64,'[12]Program 10'!$C$7:$C$64,,0)</f>
        <v>1826704.4549999996</v>
      </c>
      <c r="D53" s="152">
        <f>_xlfn.XLOOKUP(A53,'[12]Program 10'!$A$7:$A$64,'[12]Program 10'!$D$7:$D$64,,0)</f>
        <v>827935.52718420024</v>
      </c>
      <c r="E53" s="152">
        <f>_xlfn.XLOOKUP(A53,'[12]Program 10'!$A$7:$A$64,'[12]Program 10'!$E$7:$E$64,,0)</f>
        <v>616584.58499999985</v>
      </c>
      <c r="F53" s="153">
        <f t="shared" si="0"/>
        <v>0.45324000000000025</v>
      </c>
      <c r="G53" s="154">
        <f t="shared" si="1"/>
        <v>29431.245107398565</v>
      </c>
    </row>
    <row r="54" spans="1:7" x14ac:dyDescent="0.3">
      <c r="A54" s="151" t="s">
        <v>48</v>
      </c>
      <c r="B54" s="152">
        <f>_xlfn.XLOOKUP(A54,'[12]Program 10'!$A$7:$A$64,'[12]Program 10'!$B$7:$B$64,,0)</f>
        <v>171.95</v>
      </c>
      <c r="C54" s="152">
        <f>_xlfn.XLOOKUP(A54,'[12]Program 10'!$A$7:$A$64,'[12]Program 10'!$C$7:$C$64,,0)</f>
        <v>14654488.301012961</v>
      </c>
      <c r="D54" s="152">
        <f>_xlfn.XLOOKUP(A54,'[12]Program 10'!$A$7:$A$64,'[12]Program 10'!$D$7:$D$64,,0)</f>
        <v>8052347.1253698701</v>
      </c>
      <c r="E54" s="152">
        <f>_xlfn.XLOOKUP(A54,'[12]Program 10'!$A$7:$A$64,'[12]Program 10'!$E$7:$E$64,,0)</f>
        <v>3894738.2635000055</v>
      </c>
      <c r="F54" s="153">
        <f t="shared" si="0"/>
        <v>0.54947992450976735</v>
      </c>
      <c r="G54" s="154">
        <f t="shared" si="1"/>
        <v>22650.411535330069</v>
      </c>
    </row>
    <row r="55" spans="1:7" x14ac:dyDescent="0.3">
      <c r="A55" s="151" t="s">
        <v>49</v>
      </c>
      <c r="B55" s="152">
        <f>_xlfn.XLOOKUP(A55,'[12]Program 10'!$A$7:$A$64,'[12]Program 10'!$B$7:$B$64,,0)</f>
        <v>137.99</v>
      </c>
      <c r="C55" s="152">
        <f>_xlfn.XLOOKUP(A55,'[12]Program 10'!$A$7:$A$64,'[12]Program 10'!$C$7:$C$64,,0)</f>
        <v>12157620.877267998</v>
      </c>
      <c r="D55" s="152">
        <f>_xlfn.XLOOKUP(A55,'[12]Program 10'!$A$7:$A$64,'[12]Program 10'!$D$7:$D$64,,0)</f>
        <v>4965059.3736703126</v>
      </c>
      <c r="E55" s="152">
        <f>_xlfn.XLOOKUP(A55,'[12]Program 10'!$A$7:$A$64,'[12]Program 10'!$E$7:$E$64,,0)</f>
        <v>3463058.8886000025</v>
      </c>
      <c r="F55" s="153">
        <f t="shared" si="0"/>
        <v>0.40839070602652622</v>
      </c>
      <c r="G55" s="154">
        <f t="shared" si="1"/>
        <v>25096.448210739924</v>
      </c>
    </row>
    <row r="56" spans="1:7" x14ac:dyDescent="0.3">
      <c r="A56" s="151" t="s">
        <v>50</v>
      </c>
      <c r="B56" s="152">
        <f>_xlfn.XLOOKUP(A56,'[12]Program 10'!$A$7:$A$64,'[12]Program 10'!$B$7:$B$64,,0)</f>
        <v>191.3</v>
      </c>
      <c r="C56" s="152">
        <f>_xlfn.XLOOKUP(A56,'[12]Program 10'!$A$7:$A$64,'[12]Program 10'!$C$7:$C$64,,0)</f>
        <v>14177461.750846155</v>
      </c>
      <c r="D56" s="152">
        <f>_xlfn.XLOOKUP(A56,'[12]Program 10'!$A$7:$A$64,'[12]Program 10'!$D$7:$D$64,,0)</f>
        <v>5355967.5643779095</v>
      </c>
      <c r="E56" s="152">
        <f>_xlfn.XLOOKUP(A56,'[12]Program 10'!$A$7:$A$64,'[12]Program 10'!$E$7:$E$64,,0)</f>
        <v>4332439.1057342431</v>
      </c>
      <c r="F56" s="153">
        <f t="shared" si="0"/>
        <v>0.37778042773123677</v>
      </c>
      <c r="G56" s="154">
        <f t="shared" si="1"/>
        <v>22647.355492599283</v>
      </c>
    </row>
    <row r="57" spans="1:7" x14ac:dyDescent="0.3">
      <c r="A57" s="151" t="s">
        <v>36</v>
      </c>
      <c r="B57" s="152">
        <f>_xlfn.XLOOKUP(A57,'[12]Program 10'!$A$7:$A$64,'[12]Program 10'!$B$7:$B$64,,0)</f>
        <v>40.299999999999997</v>
      </c>
      <c r="C57" s="152">
        <f>_xlfn.XLOOKUP(A57,'[12]Program 10'!$A$7:$A$64,'[12]Program 10'!$C$7:$C$64,,0)</f>
        <v>2704882.929</v>
      </c>
      <c r="D57" s="152">
        <f>_xlfn.XLOOKUP(A57,'[12]Program 10'!$A$7:$A$64,'[12]Program 10'!$D$7:$D$64,,0)</f>
        <v>1106237.4872271994</v>
      </c>
      <c r="E57" s="152">
        <f>_xlfn.XLOOKUP(A57,'[12]Program 10'!$A$7:$A$64,'[12]Program 10'!$E$7:$E$64,,0)</f>
        <v>1186709.8230000003</v>
      </c>
      <c r="F57" s="153">
        <f t="shared" si="0"/>
        <v>0.40897795441231066</v>
      </c>
      <c r="G57" s="154">
        <f t="shared" si="1"/>
        <v>29446.893870967753</v>
      </c>
    </row>
    <row r="58" spans="1:7" x14ac:dyDescent="0.3">
      <c r="A58" s="151" t="s">
        <v>37</v>
      </c>
      <c r="B58" s="152">
        <f>_xlfn.XLOOKUP(A58,'[12]Program 10'!$A$7:$A$64,'[12]Program 10'!$B$7:$B$64,,0)</f>
        <v>32.45000000000001</v>
      </c>
      <c r="C58" s="152">
        <f>_xlfn.XLOOKUP(A58,'[12]Program 10'!$A$7:$A$64,'[12]Program 10'!$C$7:$C$64,,0)</f>
        <v>2206899.6410000003</v>
      </c>
      <c r="D58" s="152">
        <f>_xlfn.XLOOKUP(A58,'[12]Program 10'!$A$7:$A$64,'[12]Program 10'!$D$7:$D$64,,0)</f>
        <v>840797.93293759983</v>
      </c>
      <c r="E58" s="152">
        <f>_xlfn.XLOOKUP(A58,'[12]Program 10'!$A$7:$A$64,'[12]Program 10'!$E$7:$E$64,,0)</f>
        <v>819308.0920000003</v>
      </c>
      <c r="F58" s="153">
        <f t="shared" si="0"/>
        <v>0.38098603004738979</v>
      </c>
      <c r="G58" s="154">
        <f t="shared" si="1"/>
        <v>25248.323328197228</v>
      </c>
    </row>
    <row r="59" spans="1:7" x14ac:dyDescent="0.3">
      <c r="A59" s="151" t="s">
        <v>18</v>
      </c>
      <c r="B59" s="152">
        <f>_xlfn.XLOOKUP(A59,'[12]Program 10'!$A$7:$A$64,'[12]Program 10'!$B$7:$B$64,,0)</f>
        <v>4.9600000000000009</v>
      </c>
      <c r="C59" s="152">
        <f>_xlfn.XLOOKUP(A59,'[12]Program 10'!$A$7:$A$64,'[12]Program 10'!$C$7:$C$64,,0)</f>
        <v>308354.00829166669</v>
      </c>
      <c r="D59" s="152">
        <f>_xlfn.XLOOKUP(A59,'[12]Program 10'!$A$7:$A$64,'[12]Program 10'!$D$7:$D$64,,0)</f>
        <v>140812.56782935001</v>
      </c>
      <c r="E59" s="152">
        <f>_xlfn.XLOOKUP(A59,'[12]Program 10'!$A$7:$A$64,'[12]Program 10'!$E$7:$E$64,,0)</f>
        <v>56436.955120643441</v>
      </c>
      <c r="F59" s="153">
        <f t="shared" si="0"/>
        <v>0.45665878841489826</v>
      </c>
      <c r="G59" s="154">
        <f t="shared" si="1"/>
        <v>11378.418371097467</v>
      </c>
    </row>
    <row r="60" spans="1:7" x14ac:dyDescent="0.3">
      <c r="A60" s="151" t="s">
        <v>51</v>
      </c>
      <c r="B60" s="152">
        <f>_xlfn.XLOOKUP(A60,'[12]Program 10'!$A$7:$A$64,'[12]Program 10'!$B$7:$B$64,,0)</f>
        <v>215</v>
      </c>
      <c r="C60" s="152">
        <f>_xlfn.XLOOKUP(A60,'[12]Program 10'!$A$7:$A$64,'[12]Program 10'!$C$7:$C$64,,0)</f>
        <v>15287233.019999983</v>
      </c>
      <c r="D60" s="152">
        <f>_xlfn.XLOOKUP(A60,'[12]Program 10'!$A$7:$A$64,'[12]Program 10'!$D$7:$D$64,,0)</f>
        <v>4607052.568539001</v>
      </c>
      <c r="E60" s="152">
        <f>_xlfn.XLOOKUP(A60,'[12]Program 10'!$A$7:$A$64,'[12]Program 10'!$E$7:$E$64,,0)</f>
        <v>7907482.2250000238</v>
      </c>
      <c r="F60" s="153">
        <f t="shared" si="0"/>
        <v>0.30136601977033289</v>
      </c>
      <c r="G60" s="154">
        <f t="shared" si="1"/>
        <v>36778.987093023366</v>
      </c>
    </row>
    <row r="61" spans="1:7" x14ac:dyDescent="0.3">
      <c r="A61" s="151" t="s">
        <v>38</v>
      </c>
      <c r="B61" s="152">
        <f>_xlfn.XLOOKUP(A61,'[12]Program 10'!$A$7:$A$64,'[12]Program 10'!$B$7:$B$64,,0)</f>
        <v>31.4</v>
      </c>
      <c r="C61" s="152">
        <f>_xlfn.XLOOKUP(A61,'[12]Program 10'!$A$7:$A$64,'[12]Program 10'!$C$7:$C$64,,0)</f>
        <v>2315318.86</v>
      </c>
      <c r="D61" s="152">
        <f>_xlfn.XLOOKUP(A61,'[12]Program 10'!$A$7:$A$64,'[12]Program 10'!$D$7:$D$64,,0)</f>
        <v>738863.89555559994</v>
      </c>
      <c r="E61" s="152">
        <f>_xlfn.XLOOKUP(A61,'[12]Program 10'!$A$7:$A$64,'[12]Program 10'!$E$7:$E$64,,0)</f>
        <v>1188471.389</v>
      </c>
      <c r="F61" s="153">
        <f t="shared" si="0"/>
        <v>0.31911971535341788</v>
      </c>
      <c r="G61" s="154">
        <f t="shared" si="1"/>
        <v>37849.40729299363</v>
      </c>
    </row>
    <row r="62" spans="1:7" x14ac:dyDescent="0.3">
      <c r="A62" s="151" t="s">
        <v>52</v>
      </c>
      <c r="B62" s="152">
        <f>_xlfn.XLOOKUP(A62,'[12]Program 10'!$A$7:$A$64,'[12]Program 10'!$B$7:$B$64,,0)</f>
        <v>231.2012</v>
      </c>
      <c r="C62" s="152">
        <f>_xlfn.XLOOKUP(A62,'[12]Program 10'!$A$7:$A$64,'[12]Program 10'!$C$7:$C$64,,0)</f>
        <v>19749962.583878007</v>
      </c>
      <c r="D62" s="152">
        <f>_xlfn.XLOOKUP(A62,'[12]Program 10'!$A$7:$A$64,'[12]Program 10'!$D$7:$D$64,,0)</f>
        <v>4730544.1103240624</v>
      </c>
      <c r="E62" s="152">
        <f>_xlfn.XLOOKUP(A62,'[12]Program 10'!$A$7:$A$64,'[12]Program 10'!$E$7:$E$64,,0)</f>
        <v>4783510.5069920002</v>
      </c>
      <c r="F62" s="153">
        <f t="shared" si="0"/>
        <v>0.23952167454664594</v>
      </c>
      <c r="G62" s="154">
        <f t="shared" si="1"/>
        <v>20689.816951607518</v>
      </c>
    </row>
    <row r="63" spans="1:7" x14ac:dyDescent="0.3">
      <c r="A63" s="151" t="s">
        <v>39</v>
      </c>
      <c r="B63" s="152">
        <f>_xlfn.XLOOKUP(A63,'[12]Program 10'!$A$7:$A$64,'[12]Program 10'!$B$7:$B$64,,0)</f>
        <v>84.75</v>
      </c>
      <c r="C63" s="152">
        <f>_xlfn.XLOOKUP(A63,'[12]Program 10'!$A$7:$A$64,'[12]Program 10'!$C$7:$C$64,,0)</f>
        <v>6726341.785000002</v>
      </c>
      <c r="D63" s="152">
        <f>_xlfn.XLOOKUP(A63,'[12]Program 10'!$A$7:$A$64,'[12]Program 10'!$D$7:$D$64,,0)</f>
        <v>1193464.8318454998</v>
      </c>
      <c r="E63" s="152">
        <f>_xlfn.XLOOKUP(A63,'[12]Program 10'!$A$7:$A$64,'[12]Program 10'!$E$7:$E$64,,0)</f>
        <v>3590213.8074999987</v>
      </c>
      <c r="F63" s="153">
        <f t="shared" si="0"/>
        <v>0.17743148802027453</v>
      </c>
      <c r="G63" s="154">
        <f t="shared" si="1"/>
        <v>42362.404808259569</v>
      </c>
    </row>
    <row r="64" spans="1:7" x14ac:dyDescent="0.3">
      <c r="A64" s="151" t="s">
        <v>40</v>
      </c>
      <c r="B64" s="152">
        <f>_xlfn.XLOOKUP(A64,'[12]Program 10'!$A$7:$A$64,'[12]Program 10'!$B$7:$B$64,,0)</f>
        <v>36.550000000000018</v>
      </c>
      <c r="C64" s="152">
        <f>_xlfn.XLOOKUP(A64,'[12]Program 10'!$A$7:$A$64,'[12]Program 10'!$C$7:$C$64,,0)</f>
        <v>2585195.85</v>
      </c>
      <c r="D64" s="152">
        <f>_xlfn.XLOOKUP(A64,'[12]Program 10'!$A$7:$A$64,'[12]Program 10'!$D$7:$D$64,,0)</f>
        <v>277391.5147050001</v>
      </c>
      <c r="E64" s="152">
        <f>_xlfn.XLOOKUP(A64,'[12]Program 10'!$A$7:$A$64,'[12]Program 10'!$E$7:$E$64,,0)</f>
        <v>848563.08350000053</v>
      </c>
      <c r="F64" s="153">
        <f t="shared" si="0"/>
        <v>0.10730000000000003</v>
      </c>
      <c r="G64" s="154">
        <f t="shared" si="1"/>
        <v>23216.500232558141</v>
      </c>
    </row>
    <row r="65" spans="1:7" s="112" customFormat="1" ht="15" thickBot="1" x14ac:dyDescent="0.35">
      <c r="A65" s="98" t="s">
        <v>174</v>
      </c>
      <c r="B65" s="160">
        <f>SUM(B7:B64)</f>
        <v>13220.278099999998</v>
      </c>
      <c r="C65" s="77">
        <f t="shared" ref="C65:E65" si="2">SUM(C7:C64)</f>
        <v>1154745917.2099211</v>
      </c>
      <c r="D65" s="77">
        <f t="shared" si="2"/>
        <v>407155203.21231878</v>
      </c>
      <c r="E65" s="77">
        <f t="shared" si="2"/>
        <v>340870725.25585777</v>
      </c>
      <c r="F65" s="161">
        <f t="shared" si="0"/>
        <v>0.35259289263917104</v>
      </c>
      <c r="G65" s="77">
        <f t="shared" ref="G65" si="3">(E65)/B65</f>
        <v>25783.930010962315</v>
      </c>
    </row>
    <row r="66" spans="1:7" ht="15" thickTop="1" x14ac:dyDescent="0.3">
      <c r="D66" s="156"/>
      <c r="G66" s="155"/>
    </row>
    <row r="67" spans="1:7" x14ac:dyDescent="0.3">
      <c r="B67" s="157"/>
      <c r="C67" s="157"/>
      <c r="D67" s="157"/>
    </row>
    <row r="68" spans="1:7" x14ac:dyDescent="0.3">
      <c r="D68" s="156"/>
    </row>
  </sheetData>
  <mergeCells count="2">
    <mergeCell ref="B4:C4"/>
    <mergeCell ref="A5:A6"/>
  </mergeCells>
  <printOptions horizontalCentered="1"/>
  <pageMargins left="0.25" right="0.25" top="0.5" bottom="0.5" header="0.3" footer="0.3"/>
  <pageSetup scale="7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92752-F3C8-4A0F-BD86-D9A5A44C2BE7}">
  <sheetPr>
    <tabColor rgb="FF92D050"/>
    <pageSetUpPr fitToPage="1"/>
  </sheetPr>
  <dimension ref="A1:G68"/>
  <sheetViews>
    <sheetView zoomScaleNormal="100" workbookViewId="0">
      <pane xSplit="1" ySplit="6" topLeftCell="B40" activePane="bottomRight" state="frozen"/>
      <selection pane="topRight" activeCell="B1" sqref="B1"/>
      <selection pane="bottomLeft" activeCell="A7" sqref="A7"/>
      <selection pane="bottomRight"/>
    </sheetView>
  </sheetViews>
  <sheetFormatPr defaultColWidth="9.21875" defaultRowHeight="14.4" x14ac:dyDescent="0.3"/>
  <cols>
    <col min="1" max="1" width="16.21875" style="53" customWidth="1"/>
    <col min="2" max="2" width="15.77734375" style="53" bestFit="1" customWidth="1"/>
    <col min="3" max="3" width="14.77734375" style="53" bestFit="1" customWidth="1"/>
    <col min="4" max="4" width="16.44140625" style="53" customWidth="1"/>
    <col min="5" max="5" width="16.21875" style="53" bestFit="1" customWidth="1"/>
    <col min="6" max="6" width="15.44140625" style="53" customWidth="1"/>
    <col min="7" max="7" width="16.21875" style="53" bestFit="1" customWidth="1"/>
    <col min="8" max="16384" width="9.21875" style="53"/>
  </cols>
  <sheetData>
    <row r="1" spans="1:7" ht="18" x14ac:dyDescent="0.3">
      <c r="A1" s="158" t="s">
        <v>128</v>
      </c>
    </row>
    <row r="2" spans="1:7" x14ac:dyDescent="0.3">
      <c r="A2" s="49" t="s">
        <v>246</v>
      </c>
    </row>
    <row r="4" spans="1:7" x14ac:dyDescent="0.3">
      <c r="B4" s="289" t="s">
        <v>240</v>
      </c>
      <c r="C4" s="290"/>
    </row>
    <row r="5" spans="1:7" ht="57.6" x14ac:dyDescent="0.3">
      <c r="A5" s="291" t="s">
        <v>63</v>
      </c>
      <c r="B5" s="196" t="s">
        <v>186</v>
      </c>
      <c r="C5" s="196" t="s">
        <v>185</v>
      </c>
      <c r="D5" s="42" t="s">
        <v>199</v>
      </c>
      <c r="E5" s="197" t="s">
        <v>200</v>
      </c>
      <c r="F5" s="42" t="s">
        <v>201</v>
      </c>
      <c r="G5" s="42" t="s">
        <v>202</v>
      </c>
    </row>
    <row r="6" spans="1:7" x14ac:dyDescent="0.3">
      <c r="A6" s="292"/>
      <c r="B6" s="78" t="s">
        <v>65</v>
      </c>
      <c r="C6" s="78" t="s">
        <v>1</v>
      </c>
      <c r="D6" s="78" t="s">
        <v>66</v>
      </c>
      <c r="E6" s="78" t="s">
        <v>2</v>
      </c>
      <c r="F6" s="78" t="s">
        <v>3</v>
      </c>
      <c r="G6" s="78" t="s">
        <v>83</v>
      </c>
    </row>
    <row r="7" spans="1:7" x14ac:dyDescent="0.3">
      <c r="A7" s="151" t="s">
        <v>53</v>
      </c>
      <c r="B7" s="152">
        <f>_xlfn.XLOOKUP(A7,'[12]Program 90'!$A$7:$A$64,'[12]Program 90'!$B$7:$B$64,0)</f>
        <v>110</v>
      </c>
      <c r="C7" s="152">
        <f>_xlfn.XLOOKUP(A7,'[12]Program 90'!$A$7:$A$64,'[12]Program 90'!$C$7:$C$64,0)</f>
        <v>14439258.126115963</v>
      </c>
      <c r="D7" s="152">
        <f>_xlfn.XLOOKUP(A7,'[12]Program 90'!$A$7:$A$64,'[12]Program 90'!$D$7:$D$64,0)</f>
        <v>4564922.6491469294</v>
      </c>
      <c r="E7" s="152">
        <f>_xlfn.XLOOKUP(A7,'[12]Program 90'!$A$7:$A$64,'[12]Program 90'!$E$7:$E$64,0)</f>
        <v>2672953</v>
      </c>
      <c r="F7" s="153">
        <f>D7/C7</f>
        <v>0.31614661981078213</v>
      </c>
      <c r="G7" s="154">
        <f>E7/B7</f>
        <v>24299.572727272727</v>
      </c>
    </row>
    <row r="8" spans="1:7" x14ac:dyDescent="0.3">
      <c r="A8" s="151" t="s">
        <v>4</v>
      </c>
      <c r="B8" s="152">
        <f>_xlfn.XLOOKUP(A8,'[12]Program 90'!$A$7:$A$64,'[12]Program 90'!$B$7:$B$64,0)</f>
        <v>0.31840000000000002</v>
      </c>
      <c r="C8" s="152">
        <f>_xlfn.XLOOKUP(A8,'[12]Program 90'!$A$7:$A$64,'[12]Program 90'!$C$7:$C$64,0)</f>
        <v>31467.036</v>
      </c>
      <c r="D8" s="152">
        <f>_xlfn.XLOOKUP(A8,'[12]Program 90'!$A$7:$A$64,'[12]Program 90'!$D$7:$D$64,0)</f>
        <v>15442.762587359999</v>
      </c>
      <c r="E8" s="152">
        <f>_xlfn.XLOOKUP(A8,'[12]Program 90'!$A$7:$A$64,'[12]Program 90'!$E$7:$E$64,0)</f>
        <v>10088.454479999999</v>
      </c>
      <c r="F8" s="153">
        <f t="shared" ref="F8:F65" si="0">D8/C8</f>
        <v>0.49075999999999997</v>
      </c>
      <c r="G8" s="154">
        <f t="shared" ref="G8:G65" si="1">E8/B8</f>
        <v>31684.844472361801</v>
      </c>
    </row>
    <row r="9" spans="1:7" x14ac:dyDescent="0.3">
      <c r="A9" s="151" t="s">
        <v>5</v>
      </c>
      <c r="B9" s="152">
        <f>_xlfn.XLOOKUP(A9,'[12]Program 90'!$A$7:$A$64,'[12]Program 90'!$B$7:$B$64,0)</f>
        <v>4.8499999999999996</v>
      </c>
      <c r="C9" s="152">
        <f>_xlfn.XLOOKUP(A9,'[12]Program 90'!$A$7:$A$64,'[12]Program 90'!$C$7:$C$64,0)</f>
        <v>480754.3</v>
      </c>
      <c r="D9" s="152">
        <f>_xlfn.XLOOKUP(A9,'[12]Program 90'!$A$7:$A$64,'[12]Program 90'!$D$7:$D$64,0)</f>
        <v>197590.01730000001</v>
      </c>
      <c r="E9" s="152">
        <f>_xlfn.XLOOKUP(A9,'[12]Program 90'!$A$7:$A$64,'[12]Program 90'!$E$7:$E$64,0)</f>
        <v>46618.340499999998</v>
      </c>
      <c r="F9" s="153">
        <f t="shared" si="0"/>
        <v>0.41100000000000003</v>
      </c>
      <c r="G9" s="154">
        <f t="shared" si="1"/>
        <v>9612.0289690721656</v>
      </c>
    </row>
    <row r="10" spans="1:7" x14ac:dyDescent="0.3">
      <c r="A10" s="151" t="s">
        <v>19</v>
      </c>
      <c r="B10" s="152">
        <f>_xlfn.XLOOKUP(A10,'[12]Program 90'!$A$7:$A$64,'[12]Program 90'!$B$7:$B$64,0)</f>
        <v>22.3</v>
      </c>
      <c r="C10" s="152">
        <f>_xlfn.XLOOKUP(A10,'[12]Program 90'!$A$7:$A$64,'[12]Program 90'!$C$7:$C$64,0)</f>
        <v>1899555.5081309993</v>
      </c>
      <c r="D10" s="152">
        <f>_xlfn.XLOOKUP(A10,'[12]Program 90'!$A$7:$A$64,'[12]Program 90'!$D$7:$D$64,0)</f>
        <v>670796.64388610213</v>
      </c>
      <c r="E10" s="152">
        <f>_xlfn.XLOOKUP(A10,'[12]Program 90'!$A$7:$A$64,'[12]Program 90'!$E$7:$E$64,0)</f>
        <v>389119.23323961103</v>
      </c>
      <c r="F10" s="153">
        <f t="shared" si="0"/>
        <v>0.35313347833994535</v>
      </c>
      <c r="G10" s="154">
        <f t="shared" si="1"/>
        <v>17449.292970386145</v>
      </c>
    </row>
    <row r="11" spans="1:7" x14ac:dyDescent="0.3">
      <c r="A11" s="151" t="s">
        <v>6</v>
      </c>
      <c r="B11" s="152">
        <f>_xlfn.XLOOKUP(A11,'[12]Program 90'!$A$7:$A$64,'[12]Program 90'!$B$7:$B$64,0)</f>
        <v>5.75</v>
      </c>
      <c r="C11" s="152">
        <f>_xlfn.XLOOKUP(A11,'[12]Program 90'!$A$7:$A$64,'[12]Program 90'!$C$7:$C$64,0)</f>
        <v>550321.22587199998</v>
      </c>
      <c r="D11" s="152">
        <f>_xlfn.XLOOKUP(A11,'[12]Program 90'!$A$7:$A$64,'[12]Program 90'!$D$7:$D$64,0)</f>
        <v>123217.29839104801</v>
      </c>
      <c r="E11" s="152">
        <f>_xlfn.XLOOKUP(A11,'[12]Program 90'!$A$7:$A$64,'[12]Program 90'!$E$7:$E$64,0)</f>
        <v>78527.39</v>
      </c>
      <c r="F11" s="153">
        <f t="shared" si="0"/>
        <v>0.22390068308887526</v>
      </c>
      <c r="G11" s="154">
        <f t="shared" si="1"/>
        <v>13656.937391304347</v>
      </c>
    </row>
    <row r="12" spans="1:7" x14ac:dyDescent="0.3">
      <c r="A12" s="151" t="s">
        <v>7</v>
      </c>
      <c r="B12" s="152">
        <f>_xlfn.XLOOKUP(A12,'[12]Program 90'!$A$7:$A$64,'[12]Program 90'!$B$7:$B$64,0)</f>
        <v>3.45</v>
      </c>
      <c r="C12" s="152">
        <f>_xlfn.XLOOKUP(A12,'[12]Program 90'!$A$7:$A$64,'[12]Program 90'!$C$7:$C$64,0)</f>
        <v>248324.25</v>
      </c>
      <c r="D12" s="152">
        <f>_xlfn.XLOOKUP(A12,'[12]Program 90'!$A$7:$A$64,'[12]Program 90'!$D$7:$D$64,0)</f>
        <v>102104.73262499999</v>
      </c>
      <c r="E12" s="152">
        <f>_xlfn.XLOOKUP(A12,'[12]Program 90'!$A$7:$A$64,'[12]Program 90'!$E$7:$E$64,0)</f>
        <v>30881.662499999999</v>
      </c>
      <c r="F12" s="153">
        <f t="shared" si="0"/>
        <v>0.41117503677147921</v>
      </c>
      <c r="G12" s="154">
        <f t="shared" si="1"/>
        <v>8951.20652173913</v>
      </c>
    </row>
    <row r="13" spans="1:7" x14ac:dyDescent="0.3">
      <c r="A13" s="151" t="s">
        <v>41</v>
      </c>
      <c r="B13" s="152">
        <f>_xlfn.XLOOKUP(A13,'[12]Program 90'!$A$7:$A$64,'[12]Program 90'!$B$7:$B$64,0)</f>
        <v>48.170000000000009</v>
      </c>
      <c r="C13" s="152">
        <f>_xlfn.XLOOKUP(A13,'[12]Program 90'!$A$7:$A$64,'[12]Program 90'!$C$7:$C$64,0)</f>
        <v>5286336.5037000002</v>
      </c>
      <c r="D13" s="152">
        <f>_xlfn.XLOOKUP(A13,'[12]Program 90'!$A$7:$A$64,'[12]Program 90'!$D$7:$D$64,0)</f>
        <v>1558640.0358126117</v>
      </c>
      <c r="E13" s="152">
        <f>_xlfn.XLOOKUP(A13,'[12]Program 90'!$A$7:$A$64,'[12]Program 90'!$E$7:$E$64,0)</f>
        <v>1379109.7399999998</v>
      </c>
      <c r="F13" s="153">
        <f t="shared" si="0"/>
        <v>0.29484313658839006</v>
      </c>
      <c r="G13" s="154">
        <f t="shared" si="1"/>
        <v>28630.054805895776</v>
      </c>
    </row>
    <row r="14" spans="1:7" x14ac:dyDescent="0.3">
      <c r="A14" s="151" t="s">
        <v>8</v>
      </c>
      <c r="B14" s="152">
        <f>_xlfn.XLOOKUP(A14,'[12]Program 90'!$A$7:$A$64,'[12]Program 90'!$B$7:$B$64,0)</f>
        <v>3</v>
      </c>
      <c r="C14" s="152">
        <f>_xlfn.XLOOKUP(A14,'[12]Program 90'!$A$7:$A$64,'[12]Program 90'!$C$7:$C$64,0)</f>
        <v>279757.40899999999</v>
      </c>
      <c r="D14" s="152">
        <f>_xlfn.XLOOKUP(A14,'[12]Program 90'!$A$7:$A$64,'[12]Program 90'!$D$7:$D$64,0)</f>
        <v>91989.826133936047</v>
      </c>
      <c r="E14" s="152">
        <f>_xlfn.XLOOKUP(A14,'[12]Program 90'!$A$7:$A$64,'[12]Program 90'!$E$7:$E$64,0)</f>
        <v>102660.24</v>
      </c>
      <c r="F14" s="153">
        <f t="shared" si="0"/>
        <v>0.32881998179335459</v>
      </c>
      <c r="G14" s="154">
        <f t="shared" si="1"/>
        <v>34220.080000000002</v>
      </c>
    </row>
    <row r="15" spans="1:7" x14ac:dyDescent="0.3">
      <c r="A15" s="151" t="s">
        <v>20</v>
      </c>
      <c r="B15" s="152">
        <f>_xlfn.XLOOKUP(A15,'[12]Program 90'!$A$7:$A$64,'[12]Program 90'!$B$7:$B$64,0)</f>
        <v>10.275</v>
      </c>
      <c r="C15" s="152">
        <f>_xlfn.XLOOKUP(A15,'[12]Program 90'!$A$7:$A$64,'[12]Program 90'!$C$7:$C$64,0)</f>
        <v>1119869.1712</v>
      </c>
      <c r="D15" s="152">
        <f>_xlfn.XLOOKUP(A15,'[12]Program 90'!$A$7:$A$64,'[12]Program 90'!$D$7:$D$64,0)</f>
        <v>400106.85748633603</v>
      </c>
      <c r="E15" s="152">
        <f>_xlfn.XLOOKUP(A15,'[12]Program 90'!$A$7:$A$64,'[12]Program 90'!$E$7:$E$64,0)</f>
        <v>287771.14075000008</v>
      </c>
      <c r="F15" s="153">
        <f t="shared" si="0"/>
        <v>0.35728000000000004</v>
      </c>
      <c r="G15" s="154">
        <f t="shared" si="1"/>
        <v>28006.923673965943</v>
      </c>
    </row>
    <row r="16" spans="1:7" x14ac:dyDescent="0.3">
      <c r="A16" s="151" t="s">
        <v>42</v>
      </c>
      <c r="B16" s="152">
        <f>_xlfn.XLOOKUP(A16,'[12]Program 90'!$A$7:$A$64,'[12]Program 90'!$B$7:$B$64,0)</f>
        <v>60.800000000000004</v>
      </c>
      <c r="C16" s="152">
        <f>_xlfn.XLOOKUP(A16,'[12]Program 90'!$A$7:$A$64,'[12]Program 90'!$C$7:$C$64,0)</f>
        <v>5812508.9800000023</v>
      </c>
      <c r="D16" s="152">
        <f>_xlfn.XLOOKUP(A16,'[12]Program 90'!$A$7:$A$64,'[12]Program 90'!$D$7:$D$64,0)</f>
        <v>3345663.4196400014</v>
      </c>
      <c r="E16" s="152">
        <f>_xlfn.XLOOKUP(A16,'[12]Program 90'!$A$7:$A$64,'[12]Program 90'!$E$7:$E$64,0)</f>
        <v>1155692.6453760003</v>
      </c>
      <c r="F16" s="153">
        <f t="shared" si="0"/>
        <v>0.57559711841339811</v>
      </c>
      <c r="G16" s="154">
        <f t="shared" si="1"/>
        <v>19008.102720000003</v>
      </c>
    </row>
    <row r="17" spans="1:7" x14ac:dyDescent="0.3">
      <c r="A17" s="151" t="s">
        <v>9</v>
      </c>
      <c r="B17" s="152">
        <f>_xlfn.XLOOKUP(A17,'[12]Program 90'!$A$7:$A$64,'[12]Program 90'!$B$7:$B$64,0)</f>
        <v>1.55</v>
      </c>
      <c r="C17" s="152">
        <f>_xlfn.XLOOKUP(A17,'[12]Program 90'!$A$7:$A$64,'[12]Program 90'!$C$7:$C$64,0)</f>
        <v>150842.1145</v>
      </c>
      <c r="D17" s="152">
        <f>_xlfn.XLOOKUP(A17,'[12]Program 90'!$A$7:$A$64,'[12]Program 90'!$D$7:$D$64,0)</f>
        <v>26035.348962700002</v>
      </c>
      <c r="E17" s="152">
        <f>_xlfn.XLOOKUP(A17,'[12]Program 90'!$A$7:$A$64,'[12]Program 90'!$E$7:$E$64,0)</f>
        <v>66959.294999999998</v>
      </c>
      <c r="F17" s="153">
        <f t="shared" si="0"/>
        <v>0.1726</v>
      </c>
      <c r="G17" s="154">
        <f t="shared" si="1"/>
        <v>43199.54516129032</v>
      </c>
    </row>
    <row r="18" spans="1:7" x14ac:dyDescent="0.3">
      <c r="A18" s="151" t="s">
        <v>21</v>
      </c>
      <c r="B18" s="152">
        <f>_xlfn.XLOOKUP(A18,'[12]Program 90'!$A$7:$A$64,'[12]Program 90'!$B$7:$B$64,0)</f>
        <v>13</v>
      </c>
      <c r="C18" s="152">
        <f>_xlfn.XLOOKUP(A18,'[12]Program 90'!$A$7:$A$64,'[12]Program 90'!$C$7:$C$64,0)</f>
        <v>1024175</v>
      </c>
      <c r="D18" s="152">
        <f>_xlfn.XLOOKUP(A18,'[12]Program 90'!$A$7:$A$64,'[12]Program 90'!$D$7:$D$64,0)</f>
        <v>411731.58630769228</v>
      </c>
      <c r="E18" s="152">
        <f>_xlfn.XLOOKUP(A18,'[12]Program 90'!$A$7:$A$64,'[12]Program 90'!$E$7:$E$64,0)</f>
        <v>265240.88</v>
      </c>
      <c r="F18" s="153">
        <f t="shared" si="0"/>
        <v>0.40201292387306103</v>
      </c>
      <c r="G18" s="154">
        <f t="shared" si="1"/>
        <v>20403.144615384615</v>
      </c>
    </row>
    <row r="19" spans="1:7" x14ac:dyDescent="0.3">
      <c r="A19" s="151" t="s">
        <v>22</v>
      </c>
      <c r="B19" s="152">
        <f>_xlfn.XLOOKUP(A19,'[12]Program 90'!$A$7:$A$64,'[12]Program 90'!$B$7:$B$64,0)</f>
        <v>24.349999999999994</v>
      </c>
      <c r="C19" s="152">
        <f>_xlfn.XLOOKUP(A19,'[12]Program 90'!$A$7:$A$64,'[12]Program 90'!$C$7:$C$64,0)</f>
        <v>1817118.7859945211</v>
      </c>
      <c r="D19" s="152">
        <f>_xlfn.XLOOKUP(A19,'[12]Program 90'!$A$7:$A$64,'[12]Program 90'!$D$7:$D$64,0)</f>
        <v>414128.85523682256</v>
      </c>
      <c r="E19" s="152">
        <f>_xlfn.XLOOKUP(A19,'[12]Program 90'!$A$7:$A$64,'[12]Program 90'!$E$7:$E$64,0)</f>
        <v>260155.62800000003</v>
      </c>
      <c r="F19" s="153">
        <f t="shared" si="0"/>
        <v>0.22790411855775686</v>
      </c>
      <c r="G19" s="154">
        <f t="shared" si="1"/>
        <v>10684.009363449695</v>
      </c>
    </row>
    <row r="20" spans="1:7" x14ac:dyDescent="0.3">
      <c r="A20" s="151" t="s">
        <v>10</v>
      </c>
      <c r="B20" s="152">
        <f>_xlfn.XLOOKUP(A20,'[12]Program 90'!$A$7:$A$64,'[12]Program 90'!$B$7:$B$64,0)</f>
        <v>2.89</v>
      </c>
      <c r="C20" s="152">
        <f>_xlfn.XLOOKUP(A20,'[12]Program 90'!$A$7:$A$64,'[12]Program 90'!$C$7:$C$64,0)</f>
        <v>216514.79999999996</v>
      </c>
      <c r="D20" s="152">
        <f>_xlfn.XLOOKUP(A20,'[12]Program 90'!$A$7:$A$64,'[12]Program 90'!$D$7:$D$64,0)</f>
        <v>40527.0026</v>
      </c>
      <c r="E20" s="152">
        <f>_xlfn.XLOOKUP(A20,'[12]Program 90'!$A$7:$A$64,'[12]Program 90'!$E$7:$E$64,0)</f>
        <v>45134.210000000006</v>
      </c>
      <c r="F20" s="153">
        <f t="shared" si="0"/>
        <v>0.18717890231984144</v>
      </c>
      <c r="G20" s="154">
        <f t="shared" si="1"/>
        <v>15617.373702422146</v>
      </c>
    </row>
    <row r="21" spans="1:7" x14ac:dyDescent="0.3">
      <c r="A21" s="151" t="s">
        <v>43</v>
      </c>
      <c r="B21" s="152">
        <f>_xlfn.XLOOKUP(A21,'[12]Program 90'!$A$7:$A$64,'[12]Program 90'!$B$7:$B$64,0)</f>
        <v>88</v>
      </c>
      <c r="C21" s="152">
        <f>_xlfn.XLOOKUP(A21,'[12]Program 90'!$A$7:$A$64,'[12]Program 90'!$C$7:$C$64,0)</f>
        <v>7964503.3706979994</v>
      </c>
      <c r="D21" s="152">
        <f>_xlfn.XLOOKUP(A21,'[12]Program 90'!$A$7:$A$64,'[12]Program 90'!$D$7:$D$64,0)</f>
        <v>4229673.1276784567</v>
      </c>
      <c r="E21" s="152">
        <f>_xlfn.XLOOKUP(A21,'[12]Program 90'!$A$7:$A$64,'[12]Program 90'!$E$7:$E$64,0)</f>
        <v>1797386.3799999994</v>
      </c>
      <c r="F21" s="153">
        <f t="shared" si="0"/>
        <v>0.53106552044911415</v>
      </c>
      <c r="G21" s="154">
        <f t="shared" si="1"/>
        <v>20424.845227272719</v>
      </c>
    </row>
    <row r="22" spans="1:7" x14ac:dyDescent="0.3">
      <c r="A22" s="151" t="s">
        <v>23</v>
      </c>
      <c r="B22" s="152">
        <f>_xlfn.XLOOKUP(A22,'[12]Program 90'!$A$7:$A$64,'[12]Program 90'!$B$7:$B$64,0)</f>
        <v>20</v>
      </c>
      <c r="C22" s="152">
        <f>_xlfn.XLOOKUP(A22,'[12]Program 90'!$A$7:$A$64,'[12]Program 90'!$C$7:$C$64,0)</f>
        <v>1671688.2700000003</v>
      </c>
      <c r="D22" s="152">
        <f>_xlfn.XLOOKUP(A22,'[12]Program 90'!$A$7:$A$64,'[12]Program 90'!$D$7:$D$64,0)</f>
        <v>275327.05806900002</v>
      </c>
      <c r="E22" s="152">
        <f>_xlfn.XLOOKUP(A22,'[12]Program 90'!$A$7:$A$64,'[12]Program 90'!$E$7:$E$64,0)</f>
        <v>396877.79999999981</v>
      </c>
      <c r="F22" s="153">
        <f t="shared" si="0"/>
        <v>0.16469999999999999</v>
      </c>
      <c r="G22" s="154">
        <f t="shared" si="1"/>
        <v>19843.889999999992</v>
      </c>
    </row>
    <row r="23" spans="1:7" x14ac:dyDescent="0.3">
      <c r="A23" s="151" t="s">
        <v>24</v>
      </c>
      <c r="B23" s="152">
        <f>_xlfn.XLOOKUP(A23,'[12]Program 90'!$A$7:$A$64,'[12]Program 90'!$B$7:$B$64,0)</f>
        <v>3</v>
      </c>
      <c r="C23" s="152">
        <f>_xlfn.XLOOKUP(A23,'[12]Program 90'!$A$7:$A$64,'[12]Program 90'!$C$7:$C$64,0)</f>
        <v>273004</v>
      </c>
      <c r="D23" s="152">
        <f>_xlfn.XLOOKUP(A23,'[12]Program 90'!$A$7:$A$64,'[12]Program 90'!$D$7:$D$64,0)</f>
        <v>87716.185200000007</v>
      </c>
      <c r="E23" s="152">
        <f>_xlfn.XLOOKUP(A23,'[12]Program 90'!$A$7:$A$64,'[12]Program 90'!$E$7:$E$64,0)</f>
        <v>47938.439999999995</v>
      </c>
      <c r="F23" s="153">
        <f t="shared" si="0"/>
        <v>0.32130000000000003</v>
      </c>
      <c r="G23" s="154">
        <f t="shared" si="1"/>
        <v>15979.479999999998</v>
      </c>
    </row>
    <row r="24" spans="1:7" x14ac:dyDescent="0.3">
      <c r="A24" s="151" t="s">
        <v>11</v>
      </c>
      <c r="B24" s="152">
        <f>_xlfn.XLOOKUP(A24,'[12]Program 90'!$A$7:$A$64,'[12]Program 90'!$B$7:$B$64,0)</f>
        <v>3</v>
      </c>
      <c r="C24" s="152">
        <f>_xlfn.XLOOKUP(A24,'[12]Program 90'!$A$7:$A$64,'[12]Program 90'!$C$7:$C$64,0)</f>
        <v>270405.2</v>
      </c>
      <c r="D24" s="152">
        <f>_xlfn.XLOOKUP(A24,'[12]Program 90'!$A$7:$A$64,'[12]Program 90'!$D$7:$D$64,0)</f>
        <v>48483.65236</v>
      </c>
      <c r="E24" s="152">
        <f>_xlfn.XLOOKUP(A24,'[12]Program 90'!$A$7:$A$64,'[12]Program 90'!$E$7:$E$64,0)</f>
        <v>62680.710000000014</v>
      </c>
      <c r="F24" s="153">
        <f t="shared" si="0"/>
        <v>0.17929999999999999</v>
      </c>
      <c r="G24" s="154">
        <f t="shared" si="1"/>
        <v>20893.570000000003</v>
      </c>
    </row>
    <row r="25" spans="1:7" x14ac:dyDescent="0.3">
      <c r="A25" s="151" t="s">
        <v>54</v>
      </c>
      <c r="B25" s="152">
        <f>_xlfn.XLOOKUP(A25,'[12]Program 90'!$A$7:$A$64,'[12]Program 90'!$B$7:$B$64,0)</f>
        <v>712.67000000000007</v>
      </c>
      <c r="C25" s="152">
        <f>_xlfn.XLOOKUP(A25,'[12]Program 90'!$A$7:$A$64,'[12]Program 90'!$C$7:$C$64,0)</f>
        <v>81456035.812612489</v>
      </c>
      <c r="D25" s="152">
        <f>_xlfn.XLOOKUP(A25,'[12]Program 90'!$A$7:$A$64,'[12]Program 90'!$D$7:$D$64,0)</f>
        <v>34684443.995189153</v>
      </c>
      <c r="E25" s="152">
        <f>_xlfn.XLOOKUP(A25,'[12]Program 90'!$A$7:$A$64,'[12]Program 90'!$E$7:$E$64,0)</f>
        <v>17717297.683966268</v>
      </c>
      <c r="F25" s="153">
        <f t="shared" si="0"/>
        <v>0.4258056956636071</v>
      </c>
      <c r="G25" s="154">
        <f t="shared" si="1"/>
        <v>24860.451097936304</v>
      </c>
    </row>
    <row r="26" spans="1:7" x14ac:dyDescent="0.3">
      <c r="A26" s="151" t="s">
        <v>25</v>
      </c>
      <c r="B26" s="152">
        <f>_xlfn.XLOOKUP(A26,'[12]Program 90'!$A$7:$A$64,'[12]Program 90'!$B$7:$B$64,0)</f>
        <v>15</v>
      </c>
      <c r="C26" s="152">
        <f>_xlfn.XLOOKUP(A26,'[12]Program 90'!$A$7:$A$64,'[12]Program 90'!$C$7:$C$64,0)</f>
        <v>1305401</v>
      </c>
      <c r="D26" s="152">
        <f>_xlfn.XLOOKUP(A26,'[12]Program 90'!$A$7:$A$64,'[12]Program 90'!$D$7:$D$64,0)</f>
        <v>517369.57832999993</v>
      </c>
      <c r="E26" s="152">
        <f>_xlfn.XLOOKUP(A26,'[12]Program 90'!$A$7:$A$64,'[12]Program 90'!$E$7:$E$64,0)</f>
        <v>196050</v>
      </c>
      <c r="F26" s="153">
        <f t="shared" si="0"/>
        <v>0.39632999999999996</v>
      </c>
      <c r="G26" s="154">
        <f t="shared" si="1"/>
        <v>13070</v>
      </c>
    </row>
    <row r="27" spans="1:7" x14ac:dyDescent="0.3">
      <c r="A27" s="151" t="s">
        <v>26</v>
      </c>
      <c r="B27" s="152">
        <f>_xlfn.XLOOKUP(A27,'[12]Program 90'!$A$7:$A$64,'[12]Program 90'!$B$7:$B$64,0)</f>
        <v>20</v>
      </c>
      <c r="C27" s="152">
        <f>_xlfn.XLOOKUP(A27,'[12]Program 90'!$A$7:$A$64,'[12]Program 90'!$C$7:$C$64,0)</f>
        <v>2260255.2600000002</v>
      </c>
      <c r="D27" s="152">
        <f>_xlfn.XLOOKUP(A27,'[12]Program 90'!$A$7:$A$64,'[12]Program 90'!$D$7:$D$64,0)</f>
        <v>542028.31452700007</v>
      </c>
      <c r="E27" s="152">
        <f>_xlfn.XLOOKUP(A27,'[12]Program 90'!$A$7:$A$64,'[12]Program 90'!$E$7:$E$64,0)</f>
        <v>488389.00000000012</v>
      </c>
      <c r="F27" s="153">
        <f t="shared" si="0"/>
        <v>0.2398084517794685</v>
      </c>
      <c r="G27" s="154">
        <f t="shared" si="1"/>
        <v>24419.450000000004</v>
      </c>
    </row>
    <row r="28" spans="1:7" x14ac:dyDescent="0.3">
      <c r="A28" s="151" t="s">
        <v>12</v>
      </c>
      <c r="B28" s="152">
        <f>_xlfn.XLOOKUP(A28,'[12]Program 90'!$A$7:$A$64,'[12]Program 90'!$B$7:$B$64,0)</f>
        <v>3.46</v>
      </c>
      <c r="C28" s="152">
        <f>_xlfn.XLOOKUP(A28,'[12]Program 90'!$A$7:$A$64,'[12]Program 90'!$C$7:$C$64,0)</f>
        <v>267902.1496</v>
      </c>
      <c r="D28" s="152">
        <f>_xlfn.XLOOKUP(A28,'[12]Program 90'!$A$7:$A$64,'[12]Program 90'!$D$7:$D$64,0)</f>
        <v>76915.542865200012</v>
      </c>
      <c r="E28" s="152">
        <f>_xlfn.XLOOKUP(A28,'[12]Program 90'!$A$7:$A$64,'[12]Program 90'!$E$7:$E$64,0)</f>
        <v>51251.670000000006</v>
      </c>
      <c r="F28" s="153">
        <f t="shared" si="0"/>
        <v>0.28710311947866507</v>
      </c>
      <c r="G28" s="154">
        <f t="shared" si="1"/>
        <v>14812.62138728324</v>
      </c>
    </row>
    <row r="29" spans="1:7" x14ac:dyDescent="0.3">
      <c r="A29" s="151" t="s">
        <v>27</v>
      </c>
      <c r="B29" s="152">
        <f>_xlfn.XLOOKUP(A29,'[12]Program 90'!$A$7:$A$64,'[12]Program 90'!$B$7:$B$64,0)</f>
        <v>9.75</v>
      </c>
      <c r="C29" s="152">
        <f>_xlfn.XLOOKUP(A29,'[12]Program 90'!$A$7:$A$64,'[12]Program 90'!$C$7:$C$64,0)</f>
        <v>912969</v>
      </c>
      <c r="D29" s="152">
        <f>_xlfn.XLOOKUP(A29,'[12]Program 90'!$A$7:$A$64,'[12]Program 90'!$D$7:$D$64,0)</f>
        <v>473151.10882099991</v>
      </c>
      <c r="E29" s="152">
        <f>_xlfn.XLOOKUP(A29,'[12]Program 90'!$A$7:$A$64,'[12]Program 90'!$E$7:$E$64,0)</f>
        <v>137181.02249999999</v>
      </c>
      <c r="F29" s="153">
        <f t="shared" si="0"/>
        <v>0.51825539401775955</v>
      </c>
      <c r="G29" s="154">
        <f t="shared" si="1"/>
        <v>14069.84846153846</v>
      </c>
    </row>
    <row r="30" spans="1:7" x14ac:dyDescent="0.3">
      <c r="A30" s="151" t="s">
        <v>28</v>
      </c>
      <c r="B30" s="152">
        <f>_xlfn.XLOOKUP(A30,'[12]Program 90'!$A$7:$A$64,'[12]Program 90'!$B$7:$B$64,0)</f>
        <v>25</v>
      </c>
      <c r="C30" s="152">
        <f>_xlfn.XLOOKUP(A30,'[12]Program 90'!$A$7:$A$64,'[12]Program 90'!$C$7:$C$64,0)</f>
        <v>2459144.4799999995</v>
      </c>
      <c r="D30" s="152">
        <f>_xlfn.XLOOKUP(A30,'[12]Program 90'!$A$7:$A$64,'[12]Program 90'!$D$7:$D$64,0)</f>
        <v>1265047.901728</v>
      </c>
      <c r="E30" s="152">
        <f>_xlfn.XLOOKUP(A30,'[12]Program 90'!$A$7:$A$64,'[12]Program 90'!$E$7:$E$64,0)</f>
        <v>528270.35</v>
      </c>
      <c r="F30" s="153">
        <f t="shared" si="0"/>
        <v>0.51442601767261775</v>
      </c>
      <c r="G30" s="154">
        <f t="shared" si="1"/>
        <v>21130.813999999998</v>
      </c>
    </row>
    <row r="31" spans="1:7" x14ac:dyDescent="0.3">
      <c r="A31" s="151" t="s">
        <v>13</v>
      </c>
      <c r="B31" s="152">
        <f>_xlfn.XLOOKUP(A31,'[12]Program 90'!$A$7:$A$64,'[12]Program 90'!$B$7:$B$64,0)</f>
        <v>1</v>
      </c>
      <c r="C31" s="152">
        <f>_xlfn.XLOOKUP(A31,'[12]Program 90'!$A$7:$A$64,'[12]Program 90'!$C$7:$C$64,0)</f>
        <v>88846.46</v>
      </c>
      <c r="D31" s="152">
        <f>_xlfn.XLOOKUP(A31,'[12]Program 90'!$A$7:$A$64,'[12]Program 90'!$D$7:$D$64,0)</f>
        <v>35085.467054000008</v>
      </c>
      <c r="E31" s="152">
        <f>_xlfn.XLOOKUP(A31,'[12]Program 90'!$A$7:$A$64,'[12]Program 90'!$E$7:$E$64,0)</f>
        <v>22767.22</v>
      </c>
      <c r="F31" s="153">
        <f t="shared" si="0"/>
        <v>0.39490000000000008</v>
      </c>
      <c r="G31" s="154">
        <f t="shared" si="1"/>
        <v>22767.22</v>
      </c>
    </row>
    <row r="32" spans="1:7" x14ac:dyDescent="0.3">
      <c r="A32" s="151" t="s">
        <v>14</v>
      </c>
      <c r="B32" s="152">
        <f>_xlfn.XLOOKUP(A32,'[12]Program 90'!$A$7:$A$64,'[12]Program 90'!$B$7:$B$64,0)</f>
        <v>4.2349999999999994</v>
      </c>
      <c r="C32" s="152">
        <f>_xlfn.XLOOKUP(A32,'[12]Program 90'!$A$7:$A$64,'[12]Program 90'!$C$7:$C$64,0)</f>
        <v>412695.34585852304</v>
      </c>
      <c r="D32" s="152">
        <f>_xlfn.XLOOKUP(A32,'[12]Program 90'!$A$7:$A$64,'[12]Program 90'!$D$7:$D$64,0)</f>
        <v>129261.32898409833</v>
      </c>
      <c r="E32" s="152">
        <f>_xlfn.XLOOKUP(A32,'[12]Program 90'!$A$7:$A$64,'[12]Program 90'!$E$7:$E$64,0)</f>
        <v>124956.72500000001</v>
      </c>
      <c r="F32" s="153">
        <f t="shared" si="0"/>
        <v>0.31321247084867948</v>
      </c>
      <c r="G32" s="154">
        <f t="shared" si="1"/>
        <v>29505.720188902011</v>
      </c>
    </row>
    <row r="33" spans="1:7" x14ac:dyDescent="0.3">
      <c r="A33" s="151" t="s">
        <v>44</v>
      </c>
      <c r="B33" s="152">
        <f>_xlfn.XLOOKUP(A33,'[12]Program 90'!$A$7:$A$64,'[12]Program 90'!$B$7:$B$64,0)</f>
        <v>36</v>
      </c>
      <c r="C33" s="152">
        <f>_xlfn.XLOOKUP(A33,'[12]Program 90'!$A$7:$A$64,'[12]Program 90'!$C$7:$C$64,0)</f>
        <v>3870651.2000000007</v>
      </c>
      <c r="D33" s="152">
        <f>_xlfn.XLOOKUP(A33,'[12]Program 90'!$A$7:$A$64,'[12]Program 90'!$D$7:$D$64,0)</f>
        <v>642512.29504</v>
      </c>
      <c r="E33" s="152">
        <f>_xlfn.XLOOKUP(A33,'[12]Program 90'!$A$7:$A$64,'[12]Program 90'!$E$7:$E$64,0)</f>
        <v>1141693.9163557161</v>
      </c>
      <c r="F33" s="153">
        <f t="shared" si="0"/>
        <v>0.16599591692477997</v>
      </c>
      <c r="G33" s="154">
        <f t="shared" si="1"/>
        <v>31713.71989876989</v>
      </c>
    </row>
    <row r="34" spans="1:7" x14ac:dyDescent="0.3">
      <c r="A34" s="151" t="s">
        <v>29</v>
      </c>
      <c r="B34" s="152">
        <f>_xlfn.XLOOKUP(A34,'[12]Program 90'!$A$7:$A$64,'[12]Program 90'!$B$7:$B$64,0)</f>
        <v>13</v>
      </c>
      <c r="C34" s="152">
        <f>_xlfn.XLOOKUP(A34,'[12]Program 90'!$A$7:$A$64,'[12]Program 90'!$C$7:$C$64,0)</f>
        <v>1629587</v>
      </c>
      <c r="D34" s="152">
        <f>_xlfn.XLOOKUP(A34,'[12]Program 90'!$A$7:$A$64,'[12]Program 90'!$D$7:$D$64,0)</f>
        <v>423486.84470000002</v>
      </c>
      <c r="E34" s="152">
        <f>_xlfn.XLOOKUP(A34,'[12]Program 90'!$A$7:$A$64,'[12]Program 90'!$E$7:$E$64,0)</f>
        <v>320731.00000000006</v>
      </c>
      <c r="F34" s="153">
        <f t="shared" si="0"/>
        <v>0.25987372548995546</v>
      </c>
      <c r="G34" s="154">
        <f t="shared" si="1"/>
        <v>24671.61538461539</v>
      </c>
    </row>
    <row r="35" spans="1:7" x14ac:dyDescent="0.3">
      <c r="A35" s="151" t="s">
        <v>30</v>
      </c>
      <c r="B35" s="152">
        <f>_xlfn.XLOOKUP(A35,'[12]Program 90'!$A$7:$A$64,'[12]Program 90'!$B$7:$B$64,0)</f>
        <v>9</v>
      </c>
      <c r="C35" s="152">
        <f>_xlfn.XLOOKUP(A35,'[12]Program 90'!$A$7:$A$64,'[12]Program 90'!$C$7:$C$64,0)</f>
        <v>771562.7590860225</v>
      </c>
      <c r="D35" s="152">
        <f>_xlfn.XLOOKUP(A35,'[12]Program 90'!$A$7:$A$64,'[12]Program 90'!$D$7:$D$64,0)</f>
        <v>386861.56740573165</v>
      </c>
      <c r="E35" s="152">
        <f>_xlfn.XLOOKUP(A35,'[12]Program 90'!$A$7:$A$64,'[12]Program 90'!$E$7:$E$64,0)</f>
        <v>274679.23999999993</v>
      </c>
      <c r="F35" s="153">
        <f t="shared" si="0"/>
        <v>0.50139999999999996</v>
      </c>
      <c r="G35" s="154">
        <f t="shared" si="1"/>
        <v>30519.915555555548</v>
      </c>
    </row>
    <row r="36" spans="1:7" x14ac:dyDescent="0.3">
      <c r="A36" s="151" t="s">
        <v>55</v>
      </c>
      <c r="B36" s="152">
        <f>_xlfn.XLOOKUP(A36,'[12]Program 90'!$A$7:$A$64,'[12]Program 90'!$B$7:$B$64,0)</f>
        <v>199.08</v>
      </c>
      <c r="C36" s="152">
        <f>_xlfn.XLOOKUP(A36,'[12]Program 90'!$A$7:$A$64,'[12]Program 90'!$C$7:$C$64,0)</f>
        <v>19992469.962639999</v>
      </c>
      <c r="D36" s="152">
        <f>_xlfn.XLOOKUP(A36,'[12]Program 90'!$A$7:$A$64,'[12]Program 90'!$D$7:$D$64,0)</f>
        <v>7849770.8991674297</v>
      </c>
      <c r="E36" s="152">
        <f>_xlfn.XLOOKUP(A36,'[12]Program 90'!$A$7:$A$64,'[12]Program 90'!$E$7:$E$64,0)</f>
        <v>3519301.3368000002</v>
      </c>
      <c r="F36" s="153">
        <f t="shared" si="0"/>
        <v>0.39263637328635859</v>
      </c>
      <c r="G36" s="154">
        <f t="shared" si="1"/>
        <v>17677.824677516575</v>
      </c>
    </row>
    <row r="37" spans="1:7" x14ac:dyDescent="0.3">
      <c r="A37" s="151" t="s">
        <v>31</v>
      </c>
      <c r="B37" s="152">
        <f>_xlfn.XLOOKUP(A37,'[12]Program 90'!$A$7:$A$64,'[12]Program 90'!$B$7:$B$64,0)</f>
        <v>29.2</v>
      </c>
      <c r="C37" s="152">
        <f>_xlfn.XLOOKUP(A37,'[12]Program 90'!$A$7:$A$64,'[12]Program 90'!$C$7:$C$64,0)</f>
        <v>2888777.8610499999</v>
      </c>
      <c r="D37" s="152">
        <f>_xlfn.XLOOKUP(A37,'[12]Program 90'!$A$7:$A$64,'[12]Program 90'!$D$7:$D$64,0)</f>
        <v>1194220.7677580698</v>
      </c>
      <c r="E37" s="152">
        <f>_xlfn.XLOOKUP(A37,'[12]Program 90'!$A$7:$A$64,'[12]Program 90'!$E$7:$E$64,0)</f>
        <v>926261.2</v>
      </c>
      <c r="F37" s="153">
        <f t="shared" si="0"/>
        <v>0.41339999999999993</v>
      </c>
      <c r="G37" s="154">
        <f t="shared" si="1"/>
        <v>31721.273972602739</v>
      </c>
    </row>
    <row r="38" spans="1:7" x14ac:dyDescent="0.3">
      <c r="A38" s="151" t="s">
        <v>15</v>
      </c>
      <c r="B38" s="152">
        <f>_xlfn.XLOOKUP(A38,'[12]Program 90'!$A$7:$A$64,'[12]Program 90'!$B$7:$B$64,0)</f>
        <v>0.75</v>
      </c>
      <c r="C38" s="152">
        <f>_xlfn.XLOOKUP(A38,'[12]Program 90'!$A$7:$A$64,'[12]Program 90'!$C$7:$C$64,0)</f>
        <v>48250.8</v>
      </c>
      <c r="D38" s="152">
        <f>_xlfn.XLOOKUP(A38,'[12]Program 90'!$A$7:$A$64,'[12]Program 90'!$D$7:$D$64,0)</f>
        <v>19773.17784</v>
      </c>
      <c r="E38" s="152">
        <f>_xlfn.XLOOKUP(A38,'[12]Program 90'!$A$7:$A$64,'[12]Program 90'!$E$7:$E$64,0)</f>
        <v>54461.91</v>
      </c>
      <c r="F38" s="153">
        <f t="shared" si="0"/>
        <v>0.4098</v>
      </c>
      <c r="G38" s="154">
        <f t="shared" si="1"/>
        <v>72615.88</v>
      </c>
    </row>
    <row r="39" spans="1:7" x14ac:dyDescent="0.3">
      <c r="A39" s="151" t="s">
        <v>56</v>
      </c>
      <c r="B39" s="152">
        <f>_xlfn.XLOOKUP(A39,'[12]Program 90'!$A$7:$A$64,'[12]Program 90'!$B$7:$B$64,0)</f>
        <v>102.92000000000002</v>
      </c>
      <c r="C39" s="152">
        <f>_xlfn.XLOOKUP(A39,'[12]Program 90'!$A$7:$A$64,'[12]Program 90'!$C$7:$C$64,0)</f>
        <v>11825963.207399998</v>
      </c>
      <c r="D39" s="152">
        <f>_xlfn.XLOOKUP(A39,'[12]Program 90'!$A$7:$A$64,'[12]Program 90'!$D$7:$D$64,0)</f>
        <v>3193212.3900098992</v>
      </c>
      <c r="E39" s="152">
        <f>_xlfn.XLOOKUP(A39,'[12]Program 90'!$A$7:$A$64,'[12]Program 90'!$E$7:$E$64,0)</f>
        <v>4238213.1163999997</v>
      </c>
      <c r="F39" s="153">
        <f t="shared" si="0"/>
        <v>0.27001710845944227</v>
      </c>
      <c r="G39" s="154">
        <f t="shared" si="1"/>
        <v>41179.68438010104</v>
      </c>
    </row>
    <row r="40" spans="1:7" x14ac:dyDescent="0.3">
      <c r="A40" s="151" t="s">
        <v>57</v>
      </c>
      <c r="B40" s="152">
        <f>_xlfn.XLOOKUP(A40,'[12]Program 90'!$A$7:$A$64,'[12]Program 90'!$B$7:$B$64,0)</f>
        <v>100.46</v>
      </c>
      <c r="C40" s="152">
        <f>_xlfn.XLOOKUP(A40,'[12]Program 90'!$A$7:$A$64,'[12]Program 90'!$C$7:$C$64,0)</f>
        <v>12250648.913336523</v>
      </c>
      <c r="D40" s="152">
        <f>_xlfn.XLOOKUP(A40,'[12]Program 90'!$A$7:$A$64,'[12]Program 90'!$D$7:$D$64,0)</f>
        <v>4859703.4734501187</v>
      </c>
      <c r="E40" s="152">
        <f>_xlfn.XLOOKUP(A40,'[12]Program 90'!$A$7:$A$64,'[12]Program 90'!$E$7:$E$64,0)</f>
        <v>2319459.6722000004</v>
      </c>
      <c r="F40" s="153">
        <f t="shared" si="0"/>
        <v>0.39668947398857057</v>
      </c>
      <c r="G40" s="154">
        <f t="shared" si="1"/>
        <v>23088.390127413903</v>
      </c>
    </row>
    <row r="41" spans="1:7" x14ac:dyDescent="0.3">
      <c r="A41" s="151" t="s">
        <v>16</v>
      </c>
      <c r="B41" s="152">
        <f>_xlfn.XLOOKUP(A41,'[12]Program 90'!$A$7:$A$64,'[12]Program 90'!$B$7:$B$64,0)</f>
        <v>7</v>
      </c>
      <c r="C41" s="152">
        <f>_xlfn.XLOOKUP(A41,'[12]Program 90'!$A$7:$A$64,'[12]Program 90'!$C$7:$C$64,0)</f>
        <v>833472.11999999988</v>
      </c>
      <c r="D41" s="152">
        <f>_xlfn.XLOOKUP(A41,'[12]Program 90'!$A$7:$A$64,'[12]Program 90'!$D$7:$D$64,0)</f>
        <v>145690.92657599997</v>
      </c>
      <c r="E41" s="152">
        <f>_xlfn.XLOOKUP(A41,'[12]Program 90'!$A$7:$A$64,'[12]Program 90'!$E$7:$E$64,0)</f>
        <v>158117.95000000001</v>
      </c>
      <c r="F41" s="153">
        <f t="shared" si="0"/>
        <v>0.17479999999999998</v>
      </c>
      <c r="G41" s="154">
        <f t="shared" si="1"/>
        <v>22588.278571428575</v>
      </c>
    </row>
    <row r="42" spans="1:7" x14ac:dyDescent="0.3">
      <c r="A42" s="151" t="s">
        <v>58</v>
      </c>
      <c r="B42" s="152">
        <f>_xlfn.XLOOKUP(A42,'[12]Program 90'!$A$7:$A$64,'[12]Program 90'!$B$7:$B$64,0)</f>
        <v>149</v>
      </c>
      <c r="C42" s="152">
        <f>_xlfn.XLOOKUP(A42,'[12]Program 90'!$A$7:$A$64,'[12]Program 90'!$C$7:$C$64,0)</f>
        <v>15442899.040000007</v>
      </c>
      <c r="D42" s="152">
        <f>_xlfn.XLOOKUP(A42,'[12]Program 90'!$A$7:$A$64,'[12]Program 90'!$D$7:$D$64,0)</f>
        <v>4124249.4201600025</v>
      </c>
      <c r="E42" s="152">
        <f>_xlfn.XLOOKUP(A42,'[12]Program 90'!$A$7:$A$64,'[12]Program 90'!$E$7:$E$64,0)</f>
        <v>2805103.6469053482</v>
      </c>
      <c r="F42" s="153">
        <f t="shared" si="0"/>
        <v>0.26706445528636963</v>
      </c>
      <c r="G42" s="154">
        <f t="shared" si="1"/>
        <v>18826.198972519116</v>
      </c>
    </row>
    <row r="43" spans="1:7" x14ac:dyDescent="0.3">
      <c r="A43" s="151" t="s">
        <v>59</v>
      </c>
      <c r="B43" s="152">
        <f>_xlfn.XLOOKUP(A43,'[12]Program 90'!$A$7:$A$64,'[12]Program 90'!$B$7:$B$64,0)</f>
        <v>162.34699999999995</v>
      </c>
      <c r="C43" s="152">
        <f>_xlfn.XLOOKUP(A43,'[12]Program 90'!$A$7:$A$64,'[12]Program 90'!$C$7:$C$64,0)</f>
        <v>17161916.21800001</v>
      </c>
      <c r="D43" s="152">
        <f>_xlfn.XLOOKUP(A43,'[12]Program 90'!$A$7:$A$64,'[12]Program 90'!$D$7:$D$64,0)</f>
        <v>8665307.2883123979</v>
      </c>
      <c r="E43" s="152">
        <f>_xlfn.XLOOKUP(A43,'[12]Program 90'!$A$7:$A$64,'[12]Program 90'!$E$7:$E$64,0)</f>
        <v>4820924.1356293252</v>
      </c>
      <c r="F43" s="153">
        <f t="shared" si="0"/>
        <v>0.50491490450372467</v>
      </c>
      <c r="G43" s="154">
        <f t="shared" si="1"/>
        <v>29695.184608457974</v>
      </c>
    </row>
    <row r="44" spans="1:7" x14ac:dyDescent="0.3">
      <c r="A44" s="151" t="s">
        <v>60</v>
      </c>
      <c r="B44" s="152">
        <f>_xlfn.XLOOKUP(A44,'[12]Program 90'!$A$7:$A$64,'[12]Program 90'!$B$7:$B$64,0)</f>
        <v>54</v>
      </c>
      <c r="C44" s="152">
        <f>_xlfn.XLOOKUP(A44,'[12]Program 90'!$A$7:$A$64,'[12]Program 90'!$C$7:$C$64,0)</f>
        <v>6881172.280000004</v>
      </c>
      <c r="D44" s="152">
        <f>_xlfn.XLOOKUP(A44,'[12]Program 90'!$A$7:$A$64,'[12]Program 90'!$D$7:$D$64,0)</f>
        <v>2190573.614860001</v>
      </c>
      <c r="E44" s="152">
        <f>_xlfn.XLOOKUP(A44,'[12]Program 90'!$A$7:$A$64,'[12]Program 90'!$E$7:$E$64,0)</f>
        <v>2110094.2259999979</v>
      </c>
      <c r="F44" s="153">
        <f t="shared" si="0"/>
        <v>0.31834308541102241</v>
      </c>
      <c r="G44" s="154">
        <f t="shared" si="1"/>
        <v>39075.818999999959</v>
      </c>
    </row>
    <row r="45" spans="1:7" x14ac:dyDescent="0.3">
      <c r="A45" s="151" t="s">
        <v>45</v>
      </c>
      <c r="B45" s="152">
        <f>_xlfn.XLOOKUP(A45,'[12]Program 90'!$A$7:$A$64,'[12]Program 90'!$B$7:$B$64,0)</f>
        <v>37.935000000000002</v>
      </c>
      <c r="C45" s="152">
        <f>_xlfn.XLOOKUP(A45,'[12]Program 90'!$A$7:$A$64,'[12]Program 90'!$C$7:$C$64,0)</f>
        <v>4008978.1329499995</v>
      </c>
      <c r="D45" s="152">
        <f>_xlfn.XLOOKUP(A45,'[12]Program 90'!$A$7:$A$64,'[12]Program 90'!$D$7:$D$64,0)</f>
        <v>2116005.8014136972</v>
      </c>
      <c r="E45" s="152">
        <f>_xlfn.XLOOKUP(A45,'[12]Program 90'!$A$7:$A$64,'[12]Program 90'!$E$7:$E$64,0)</f>
        <v>586149.07560000021</v>
      </c>
      <c r="F45" s="153">
        <f t="shared" si="0"/>
        <v>0.52781674811896218</v>
      </c>
      <c r="G45" s="154">
        <f t="shared" si="1"/>
        <v>15451.40570976671</v>
      </c>
    </row>
    <row r="46" spans="1:7" x14ac:dyDescent="0.3">
      <c r="A46" s="151" t="s">
        <v>32</v>
      </c>
      <c r="B46" s="152">
        <f>_xlfn.XLOOKUP(A46,'[12]Program 90'!$A$7:$A$64,'[12]Program 90'!$B$7:$B$64,0)</f>
        <v>17</v>
      </c>
      <c r="C46" s="152">
        <f>_xlfn.XLOOKUP(A46,'[12]Program 90'!$A$7:$A$64,'[12]Program 90'!$C$7:$C$64,0)</f>
        <v>1964030.64</v>
      </c>
      <c r="D46" s="152">
        <f>_xlfn.XLOOKUP(A46,'[12]Program 90'!$A$7:$A$64,'[12]Program 90'!$D$7:$D$64,0)</f>
        <v>1040157.5391704</v>
      </c>
      <c r="E46" s="152">
        <f>_xlfn.XLOOKUP(A46,'[12]Program 90'!$A$7:$A$64,'[12]Program 90'!$E$7:$E$64,0)</f>
        <v>312085.24</v>
      </c>
      <c r="F46" s="153">
        <f t="shared" si="0"/>
        <v>0.52960351940863815</v>
      </c>
      <c r="G46" s="154">
        <f t="shared" si="1"/>
        <v>18357.955294117648</v>
      </c>
    </row>
    <row r="47" spans="1:7" x14ac:dyDescent="0.3">
      <c r="A47" s="151" t="s">
        <v>46</v>
      </c>
      <c r="B47" s="152">
        <f>_xlfn.XLOOKUP(A47,'[12]Program 90'!$A$7:$A$64,'[12]Program 90'!$B$7:$B$64,0)</f>
        <v>63.1</v>
      </c>
      <c r="C47" s="152">
        <f>_xlfn.XLOOKUP(A47,'[12]Program 90'!$A$7:$A$64,'[12]Program 90'!$C$7:$C$64,0)</f>
        <v>7444144.4960000031</v>
      </c>
      <c r="D47" s="152">
        <f>_xlfn.XLOOKUP(A47,'[12]Program 90'!$A$7:$A$64,'[12]Program 90'!$D$7:$D$64,0)</f>
        <v>2499395.3184560002</v>
      </c>
      <c r="E47" s="152">
        <f>_xlfn.XLOOKUP(A47,'[12]Program 90'!$A$7:$A$64,'[12]Program 90'!$E$7:$E$64,0)</f>
        <v>1838166.1</v>
      </c>
      <c r="F47" s="153">
        <f t="shared" si="0"/>
        <v>0.33575319767086897</v>
      </c>
      <c r="G47" s="154">
        <f t="shared" si="1"/>
        <v>29131</v>
      </c>
    </row>
    <row r="48" spans="1:7" x14ac:dyDescent="0.3">
      <c r="A48" s="151" t="s">
        <v>47</v>
      </c>
      <c r="B48" s="152">
        <f>_xlfn.XLOOKUP(A48,'[12]Program 90'!$A$7:$A$64,'[12]Program 90'!$B$7:$B$64,0)</f>
        <v>31.1</v>
      </c>
      <c r="C48" s="152">
        <f>_xlfn.XLOOKUP(A48,'[12]Program 90'!$A$7:$A$64,'[12]Program 90'!$C$7:$C$64,0)</f>
        <v>3312694.8925000005</v>
      </c>
      <c r="D48" s="152">
        <f>_xlfn.XLOOKUP(A48,'[12]Program 90'!$A$7:$A$64,'[12]Program 90'!$D$7:$D$64,0)</f>
        <v>1401606.5694151248</v>
      </c>
      <c r="E48" s="152">
        <f>_xlfn.XLOOKUP(A48,'[12]Program 90'!$A$7:$A$64,'[12]Program 90'!$E$7:$E$64,0)</f>
        <v>693728.5</v>
      </c>
      <c r="F48" s="153">
        <f t="shared" si="0"/>
        <v>0.42310161813826763</v>
      </c>
      <c r="G48" s="154">
        <f t="shared" si="1"/>
        <v>22306.382636655948</v>
      </c>
    </row>
    <row r="49" spans="1:7" x14ac:dyDescent="0.3">
      <c r="A49" s="151" t="s">
        <v>61</v>
      </c>
      <c r="B49" s="152">
        <f>_xlfn.XLOOKUP(A49,'[12]Program 90'!$A$7:$A$64,'[12]Program 90'!$B$7:$B$64,0)</f>
        <v>81.2</v>
      </c>
      <c r="C49" s="152">
        <f>_xlfn.XLOOKUP(A49,'[12]Program 90'!$A$7:$A$64,'[12]Program 90'!$C$7:$C$64,0)</f>
        <v>9884899.9693020023</v>
      </c>
      <c r="D49" s="152">
        <f>_xlfn.XLOOKUP(A49,'[12]Program 90'!$A$7:$A$64,'[12]Program 90'!$D$7:$D$64,0)</f>
        <v>3620609.6960500814</v>
      </c>
      <c r="E49" s="152">
        <f>_xlfn.XLOOKUP(A49,'[12]Program 90'!$A$7:$A$64,'[12]Program 90'!$E$7:$E$64,0)</f>
        <v>2223308.9203338814</v>
      </c>
      <c r="F49" s="153">
        <f t="shared" si="0"/>
        <v>0.36627681689182956</v>
      </c>
      <c r="G49" s="154">
        <f t="shared" si="1"/>
        <v>27380.65172824977</v>
      </c>
    </row>
    <row r="50" spans="1:7" x14ac:dyDescent="0.3">
      <c r="A50" s="151" t="s">
        <v>33</v>
      </c>
      <c r="B50" s="152">
        <f>_xlfn.XLOOKUP(A50,'[12]Program 90'!$A$7:$A$64,'[12]Program 90'!$B$7:$B$64,0)</f>
        <v>17.2</v>
      </c>
      <c r="C50" s="152">
        <f>_xlfn.XLOOKUP(A50,'[12]Program 90'!$A$7:$A$64,'[12]Program 90'!$C$7:$C$64,0)</f>
        <v>2087405.83</v>
      </c>
      <c r="D50" s="152">
        <f>_xlfn.XLOOKUP(A50,'[12]Program 90'!$A$7:$A$64,'[12]Program 90'!$D$7:$D$64,0)</f>
        <v>779586.02273750014</v>
      </c>
      <c r="E50" s="152">
        <f>_xlfn.XLOOKUP(A50,'[12]Program 90'!$A$7:$A$64,'[12]Program 90'!$E$7:$E$64,0)</f>
        <v>510088.42853323137</v>
      </c>
      <c r="F50" s="153">
        <f t="shared" si="0"/>
        <v>0.37347122995124532</v>
      </c>
      <c r="G50" s="154">
        <f t="shared" si="1"/>
        <v>29656.303984490198</v>
      </c>
    </row>
    <row r="51" spans="1:7" x14ac:dyDescent="0.3">
      <c r="A51" s="151" t="s">
        <v>34</v>
      </c>
      <c r="B51" s="152">
        <f>_xlfn.XLOOKUP(A51,'[12]Program 90'!$A$7:$A$64,'[12]Program 90'!$B$7:$B$64,0)</f>
        <v>17.95</v>
      </c>
      <c r="C51" s="152">
        <f>_xlfn.XLOOKUP(A51,'[12]Program 90'!$A$7:$A$64,'[12]Program 90'!$C$7:$C$64,0)</f>
        <v>1672475.6935000001</v>
      </c>
      <c r="D51" s="152">
        <f>_xlfn.XLOOKUP(A51,'[12]Program 90'!$A$7:$A$64,'[12]Program 90'!$D$7:$D$64,0)</f>
        <v>275442.59467575001</v>
      </c>
      <c r="E51" s="152">
        <f>_xlfn.XLOOKUP(A51,'[12]Program 90'!$A$7:$A$64,'[12]Program 90'!$E$7:$E$64,0)</f>
        <v>537437.4</v>
      </c>
      <c r="F51" s="153">
        <f t="shared" si="0"/>
        <v>0.16469153826644237</v>
      </c>
      <c r="G51" s="154">
        <f t="shared" si="1"/>
        <v>29940.80222841226</v>
      </c>
    </row>
    <row r="52" spans="1:7" x14ac:dyDescent="0.3">
      <c r="A52" s="151" t="s">
        <v>17</v>
      </c>
      <c r="B52" s="152">
        <f>_xlfn.XLOOKUP(A52,'[12]Program 90'!$A$7:$A$64,'[12]Program 90'!$B$7:$B$64,0)</f>
        <v>1.45</v>
      </c>
      <c r="C52" s="152">
        <f>_xlfn.XLOOKUP(A52,'[12]Program 90'!$A$7:$A$64,'[12]Program 90'!$C$7:$C$64,0)</f>
        <v>114635.6335</v>
      </c>
      <c r="D52" s="152">
        <f>_xlfn.XLOOKUP(A52,'[12]Program 90'!$A$7:$A$64,'[12]Program 90'!$D$7:$D$64,0)</f>
        <v>34046.428503349998</v>
      </c>
      <c r="E52" s="152">
        <f>_xlfn.XLOOKUP(A52,'[12]Program 90'!$A$7:$A$64,'[12]Program 90'!$E$7:$E$64,0)</f>
        <v>57380.614999999998</v>
      </c>
      <c r="F52" s="153">
        <f t="shared" si="0"/>
        <v>0.29699690631840053</v>
      </c>
      <c r="G52" s="154">
        <f t="shared" si="1"/>
        <v>39572.837931034483</v>
      </c>
    </row>
    <row r="53" spans="1:7" x14ac:dyDescent="0.3">
      <c r="A53" s="151" t="s">
        <v>35</v>
      </c>
      <c r="B53" s="152">
        <f>_xlfn.XLOOKUP(A53,'[12]Program 90'!$A$7:$A$64,'[12]Program 90'!$B$7:$B$64,0)</f>
        <v>2.5499999999999998</v>
      </c>
      <c r="C53" s="152">
        <f>_xlfn.XLOOKUP(A53,'[12]Program 90'!$A$7:$A$64,'[12]Program 90'!$C$7:$C$64,0)</f>
        <v>284480.79250000004</v>
      </c>
      <c r="D53" s="152">
        <f>_xlfn.XLOOKUP(A53,'[12]Program 90'!$A$7:$A$64,'[12]Program 90'!$D$7:$D$64,0)</f>
        <v>128938.07439270001</v>
      </c>
      <c r="E53" s="152">
        <f>_xlfn.XLOOKUP(A53,'[12]Program 90'!$A$7:$A$64,'[12]Program 90'!$E$7:$E$64,0)</f>
        <v>82319.864999999991</v>
      </c>
      <c r="F53" s="153">
        <f t="shared" si="0"/>
        <v>0.45323999999999998</v>
      </c>
      <c r="G53" s="154">
        <f t="shared" si="1"/>
        <v>32282.3</v>
      </c>
    </row>
    <row r="54" spans="1:7" x14ac:dyDescent="0.3">
      <c r="A54" s="151" t="s">
        <v>48</v>
      </c>
      <c r="B54" s="152">
        <f>_xlfn.XLOOKUP(A54,'[12]Program 90'!$A$7:$A$64,'[12]Program 90'!$B$7:$B$64,0)</f>
        <v>23.85</v>
      </c>
      <c r="C54" s="152">
        <f>_xlfn.XLOOKUP(A54,'[12]Program 90'!$A$7:$A$64,'[12]Program 90'!$C$7:$C$64,0)</f>
        <v>2495454.7051376351</v>
      </c>
      <c r="D54" s="152">
        <f>_xlfn.XLOOKUP(A54,'[12]Program 90'!$A$7:$A$64,'[12]Program 90'!$D$7:$D$64,0)</f>
        <v>1370972.9407926151</v>
      </c>
      <c r="E54" s="152">
        <f>_xlfn.XLOOKUP(A54,'[12]Program 90'!$A$7:$A$64,'[12]Program 90'!$E$7:$E$64,0)</f>
        <v>577797.60649999999</v>
      </c>
      <c r="F54" s="153">
        <f t="shared" si="0"/>
        <v>0.54938802855049218</v>
      </c>
      <c r="G54" s="154">
        <f t="shared" si="1"/>
        <v>24226.314737945489</v>
      </c>
    </row>
    <row r="55" spans="1:7" x14ac:dyDescent="0.3">
      <c r="A55" s="151" t="s">
        <v>49</v>
      </c>
      <c r="B55" s="152">
        <f>_xlfn.XLOOKUP(A55,'[12]Program 90'!$A$7:$A$64,'[12]Program 90'!$B$7:$B$64,0)</f>
        <v>21.5</v>
      </c>
      <c r="C55" s="152">
        <f>_xlfn.XLOOKUP(A55,'[12]Program 90'!$A$7:$A$64,'[12]Program 90'!$C$7:$C$64,0)</f>
        <v>2376755.1664200001</v>
      </c>
      <c r="D55" s="152">
        <f>_xlfn.XLOOKUP(A55,'[12]Program 90'!$A$7:$A$64,'[12]Program 90'!$D$7:$D$64,0)</f>
        <v>974552.02774521487</v>
      </c>
      <c r="E55" s="152">
        <f>_xlfn.XLOOKUP(A55,'[12]Program 90'!$A$7:$A$64,'[12]Program 90'!$E$7:$E$64,0)</f>
        <v>610080.83000000007</v>
      </c>
      <c r="F55" s="153">
        <f t="shared" si="0"/>
        <v>0.4100346731182829</v>
      </c>
      <c r="G55" s="154">
        <f t="shared" si="1"/>
        <v>28375.852558139537</v>
      </c>
    </row>
    <row r="56" spans="1:7" x14ac:dyDescent="0.3">
      <c r="A56" s="151" t="s">
        <v>50</v>
      </c>
      <c r="B56" s="152">
        <f>_xlfn.XLOOKUP(A56,'[12]Program 90'!$A$7:$A$64,'[12]Program 90'!$B$7:$B$64,0)</f>
        <v>37.450000000000003</v>
      </c>
      <c r="C56" s="152">
        <f>_xlfn.XLOOKUP(A56,'[12]Program 90'!$A$7:$A$64,'[12]Program 90'!$C$7:$C$64,0)</f>
        <v>4003265.1639999999</v>
      </c>
      <c r="D56" s="152">
        <f>_xlfn.XLOOKUP(A56,'[12]Program 90'!$A$7:$A$64,'[12]Program 90'!$D$7:$D$64,0)</f>
        <v>1546611.2216104004</v>
      </c>
      <c r="E56" s="152">
        <f>_xlfn.XLOOKUP(A56,'[12]Program 90'!$A$7:$A$64,'[12]Program 90'!$E$7:$E$64,0)</f>
        <v>971056.11688738666</v>
      </c>
      <c r="F56" s="153">
        <f t="shared" si="0"/>
        <v>0.38633744162603773</v>
      </c>
      <c r="G56" s="154">
        <f t="shared" si="1"/>
        <v>25929.40232009043</v>
      </c>
    </row>
    <row r="57" spans="1:7" x14ac:dyDescent="0.3">
      <c r="A57" s="151" t="s">
        <v>36</v>
      </c>
      <c r="B57" s="152">
        <f>_xlfn.XLOOKUP(A57,'[12]Program 90'!$A$7:$A$64,'[12]Program 90'!$B$7:$B$64,0)</f>
        <v>12</v>
      </c>
      <c r="C57" s="152">
        <f>_xlfn.XLOOKUP(A57,'[12]Program 90'!$A$7:$A$64,'[12]Program 90'!$C$7:$C$64,0)</f>
        <v>1208767.71</v>
      </c>
      <c r="D57" s="152">
        <f>_xlfn.XLOOKUP(A57,'[12]Program 90'!$A$7:$A$64,'[12]Program 90'!$D$7:$D$64,0)</f>
        <v>512485.46172799997</v>
      </c>
      <c r="E57" s="152">
        <f>_xlfn.XLOOKUP(A57,'[12]Program 90'!$A$7:$A$64,'[12]Program 90'!$E$7:$E$64,0)</f>
        <v>368271.54</v>
      </c>
      <c r="F57" s="153">
        <f t="shared" si="0"/>
        <v>0.42397348761740167</v>
      </c>
      <c r="G57" s="154">
        <f t="shared" si="1"/>
        <v>30689.294999999998</v>
      </c>
    </row>
    <row r="58" spans="1:7" x14ac:dyDescent="0.3">
      <c r="A58" s="151" t="s">
        <v>37</v>
      </c>
      <c r="B58" s="152">
        <f>_xlfn.XLOOKUP(A58,'[12]Program 90'!$A$7:$A$64,'[12]Program 90'!$B$7:$B$64,0)</f>
        <v>5.85</v>
      </c>
      <c r="C58" s="152">
        <f>_xlfn.XLOOKUP(A58,'[12]Program 90'!$A$7:$A$64,'[12]Program 90'!$C$7:$C$64,0)</f>
        <v>544909.22900000005</v>
      </c>
      <c r="D58" s="152">
        <f>_xlfn.XLOOKUP(A58,'[12]Program 90'!$A$7:$A$64,'[12]Program 90'!$D$7:$D$64,0)</f>
        <v>214476.27253439996</v>
      </c>
      <c r="E58" s="152">
        <f>_xlfn.XLOOKUP(A58,'[12]Program 90'!$A$7:$A$64,'[12]Program 90'!$E$7:$E$64,0)</f>
        <v>167544.93599999999</v>
      </c>
      <c r="F58" s="153">
        <f t="shared" si="0"/>
        <v>0.39359999999999989</v>
      </c>
      <c r="G58" s="154">
        <f t="shared" si="1"/>
        <v>28640.16</v>
      </c>
    </row>
    <row r="59" spans="1:7" x14ac:dyDescent="0.3">
      <c r="A59" s="151" t="s">
        <v>18</v>
      </c>
      <c r="B59" s="152">
        <f>_xlfn.XLOOKUP(A59,'[12]Program 90'!$A$7:$A$64,'[12]Program 90'!$B$7:$B$64,0)</f>
        <v>1.96</v>
      </c>
      <c r="C59" s="152">
        <f>_xlfn.XLOOKUP(A59,'[12]Program 90'!$A$7:$A$64,'[12]Program 90'!$C$7:$C$64,0)</f>
        <v>157895.81133333337</v>
      </c>
      <c r="D59" s="152">
        <f>_xlfn.XLOOKUP(A59,'[12]Program 90'!$A$7:$A$64,'[12]Program 90'!$D$7:$D$64,0)</f>
        <v>37025.871143600009</v>
      </c>
      <c r="E59" s="152">
        <f>_xlfn.XLOOKUP(A59,'[12]Program 90'!$A$7:$A$64,'[12]Program 90'!$E$7:$E$64,0)</f>
        <v>15116.377265415553</v>
      </c>
      <c r="F59" s="153">
        <f t="shared" si="0"/>
        <v>0.2344955881409343</v>
      </c>
      <c r="G59" s="154">
        <f t="shared" si="1"/>
        <v>7712.4373803140579</v>
      </c>
    </row>
    <row r="60" spans="1:7" x14ac:dyDescent="0.3">
      <c r="A60" s="151" t="s">
        <v>51</v>
      </c>
      <c r="B60" s="152">
        <f>_xlfn.XLOOKUP(A60,'[12]Program 90'!$A$7:$A$64,'[12]Program 90'!$B$7:$B$64,0)</f>
        <v>33.75</v>
      </c>
      <c r="C60" s="152">
        <f>_xlfn.XLOOKUP(A60,'[12]Program 90'!$A$7:$A$64,'[12]Program 90'!$C$7:$C$64,0)</f>
        <v>3419005.3369999994</v>
      </c>
      <c r="D60" s="152">
        <f>_xlfn.XLOOKUP(A60,'[12]Program 90'!$A$7:$A$64,'[12]Program 90'!$D$7:$D$64,0)</f>
        <v>1043595.28537032</v>
      </c>
      <c r="E60" s="152">
        <f>_xlfn.XLOOKUP(A60,'[12]Program 90'!$A$7:$A$64,'[12]Program 90'!$E$7:$E$64,0)</f>
        <v>1303305.4850000003</v>
      </c>
      <c r="F60" s="153">
        <f t="shared" si="0"/>
        <v>0.30523359354742069</v>
      </c>
      <c r="G60" s="154">
        <f t="shared" si="1"/>
        <v>38616.458814814825</v>
      </c>
    </row>
    <row r="61" spans="1:7" x14ac:dyDescent="0.3">
      <c r="A61" s="151" t="s">
        <v>38</v>
      </c>
      <c r="B61" s="152">
        <f>_xlfn.XLOOKUP(A61,'[12]Program 90'!$A$7:$A$64,'[12]Program 90'!$B$7:$B$64,0)</f>
        <v>5.6</v>
      </c>
      <c r="C61" s="152">
        <f>_xlfn.XLOOKUP(A61,'[12]Program 90'!$A$7:$A$64,'[12]Program 90'!$C$7:$C$64,0)</f>
        <v>518374.8</v>
      </c>
      <c r="D61" s="152">
        <f>_xlfn.XLOOKUP(A61,'[12]Program 90'!$A$7:$A$64,'[12]Program 90'!$D$7:$D$64,0)</f>
        <v>169523.09080799998</v>
      </c>
      <c r="E61" s="152">
        <f>_xlfn.XLOOKUP(A61,'[12]Program 90'!$A$7:$A$64,'[12]Program 90'!$E$7:$E$64,0)</f>
        <v>211987.17600000004</v>
      </c>
      <c r="F61" s="153">
        <f t="shared" si="0"/>
        <v>0.32702803224230803</v>
      </c>
      <c r="G61" s="154">
        <f t="shared" si="1"/>
        <v>37854.852857142869</v>
      </c>
    </row>
    <row r="62" spans="1:7" x14ac:dyDescent="0.3">
      <c r="A62" s="151" t="s">
        <v>52</v>
      </c>
      <c r="B62" s="152">
        <f>_xlfn.XLOOKUP(A62,'[12]Program 90'!$A$7:$A$64,'[12]Program 90'!$B$7:$B$64,0)</f>
        <v>45.428799999999995</v>
      </c>
      <c r="C62" s="152">
        <f>_xlfn.XLOOKUP(A62,'[12]Program 90'!$A$7:$A$64,'[12]Program 90'!$C$7:$C$64,0)</f>
        <v>5552150.3124219989</v>
      </c>
      <c r="D62" s="152">
        <f>_xlfn.XLOOKUP(A62,'[12]Program 90'!$A$7:$A$64,'[12]Program 90'!$D$7:$D$64,0)</f>
        <v>1412150.3657755114</v>
      </c>
      <c r="E62" s="152">
        <f>_xlfn.XLOOKUP(A62,'[12]Program 90'!$A$7:$A$64,'[12]Program 90'!$E$7:$E$64,0)</f>
        <v>1105194.5355079998</v>
      </c>
      <c r="F62" s="153">
        <f t="shared" si="0"/>
        <v>0.25434296377316429</v>
      </c>
      <c r="G62" s="154">
        <f t="shared" si="1"/>
        <v>24328.059193903424</v>
      </c>
    </row>
    <row r="63" spans="1:7" x14ac:dyDescent="0.3">
      <c r="A63" s="151" t="s">
        <v>39</v>
      </c>
      <c r="B63" s="152">
        <f>_xlfn.XLOOKUP(A63,'[12]Program 90'!$A$7:$A$64,'[12]Program 90'!$B$7:$B$64,0)</f>
        <v>15</v>
      </c>
      <c r="C63" s="152">
        <f>_xlfn.XLOOKUP(A63,'[12]Program 90'!$A$7:$A$64,'[12]Program 90'!$C$7:$C$64,0)</f>
        <v>1535146.62</v>
      </c>
      <c r="D63" s="152">
        <f>_xlfn.XLOOKUP(A63,'[12]Program 90'!$A$7:$A$64,'[12]Program 90'!$D$7:$D$64,0)</f>
        <v>289507.31586599996</v>
      </c>
      <c r="E63" s="152">
        <f>_xlfn.XLOOKUP(A63,'[12]Program 90'!$A$7:$A$64,'[12]Program 90'!$E$7:$E$64,0)</f>
        <v>815514.03000000014</v>
      </c>
      <c r="F63" s="153">
        <f t="shared" si="0"/>
        <v>0.1885861012194392</v>
      </c>
      <c r="G63" s="154">
        <f t="shared" si="1"/>
        <v>54367.602000000006</v>
      </c>
    </row>
    <row r="64" spans="1:7" x14ac:dyDescent="0.3">
      <c r="A64" s="151" t="s">
        <v>40</v>
      </c>
      <c r="B64" s="152">
        <f>_xlfn.XLOOKUP(A64,'[12]Program 90'!$A$7:$A$64,'[12]Program 90'!$B$7:$B$64,0)</f>
        <v>9</v>
      </c>
      <c r="C64" s="152">
        <f>_xlfn.XLOOKUP(A64,'[12]Program 90'!$A$7:$A$64,'[12]Program 90'!$C$7:$C$64,0)</f>
        <v>850810</v>
      </c>
      <c r="D64" s="152">
        <f>_xlfn.XLOOKUP(A64,'[12]Program 90'!$A$7:$A$64,'[12]Program 90'!$D$7:$D$64,0)</f>
        <v>91291.913</v>
      </c>
      <c r="E64" s="152">
        <f>_xlfn.XLOOKUP(A64,'[12]Program 90'!$A$7:$A$64,'[12]Program 90'!$E$7:$E$64,0)</f>
        <v>165416.61000000002</v>
      </c>
      <c r="F64" s="153">
        <f t="shared" si="0"/>
        <v>0.10730000000000001</v>
      </c>
      <c r="G64" s="154">
        <f t="shared" si="1"/>
        <v>18379.623333333337</v>
      </c>
    </row>
    <row r="65" spans="1:7" s="112" customFormat="1" ht="15" thickBot="1" x14ac:dyDescent="0.35">
      <c r="A65" s="98" t="s">
        <v>174</v>
      </c>
      <c r="B65" s="160">
        <f>SUM(B7:B64)</f>
        <v>2559.4491999999987</v>
      </c>
      <c r="C65" s="77">
        <f t="shared" ref="C65:D65" si="2">SUM(C7:C64)</f>
        <v>279733305.85636008</v>
      </c>
      <c r="D65" s="77">
        <f t="shared" si="2"/>
        <v>107580742.77339077</v>
      </c>
      <c r="E65" s="77">
        <f>SUM(E7:E64)</f>
        <v>64202949.599230178</v>
      </c>
      <c r="F65" s="161">
        <f t="shared" si="0"/>
        <v>0.38458324597440779</v>
      </c>
      <c r="G65" s="77">
        <f t="shared" si="1"/>
        <v>25084.674311656669</v>
      </c>
    </row>
    <row r="66" spans="1:7" ht="15" thickTop="1" x14ac:dyDescent="0.3">
      <c r="D66" s="156"/>
      <c r="G66" s="155"/>
    </row>
    <row r="67" spans="1:7" x14ac:dyDescent="0.3">
      <c r="B67" s="157"/>
      <c r="C67" s="157"/>
      <c r="D67" s="157"/>
    </row>
    <row r="68" spans="1:7" x14ac:dyDescent="0.3">
      <c r="D68" s="156"/>
    </row>
  </sheetData>
  <mergeCells count="2">
    <mergeCell ref="B4:C4"/>
    <mergeCell ref="A5:A6"/>
  </mergeCells>
  <printOptions horizontalCentered="1"/>
  <pageMargins left="0.5" right="0.5" top="0.5" bottom="0.5" header="0.3" footer="0.3"/>
  <pageSetup scale="7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AD6F6-189A-44B6-B011-C373DFC30D94}">
  <sheetPr>
    <tabColor rgb="FF92D050"/>
    <pageSetUpPr fitToPage="1"/>
  </sheetPr>
  <dimension ref="A1:J66"/>
  <sheetViews>
    <sheetView zoomScaleNormal="100" workbookViewId="0">
      <pane xSplit="2" ySplit="6" topLeftCell="C7" activePane="bottomRight" state="frozen"/>
      <selection pane="topRight" activeCell="C1" sqref="C1"/>
      <selection pane="bottomLeft" activeCell="A7" sqref="A7"/>
      <selection pane="bottomRight"/>
    </sheetView>
  </sheetViews>
  <sheetFormatPr defaultColWidth="9.21875" defaultRowHeight="14.4" x14ac:dyDescent="0.3"/>
  <cols>
    <col min="1" max="1" width="10.77734375" style="44" bestFit="1" customWidth="1"/>
    <col min="2" max="2" width="15.77734375" style="53" customWidth="1"/>
    <col min="3" max="3" width="1.77734375" style="53" customWidth="1"/>
    <col min="4" max="4" width="17" style="189" customWidth="1"/>
    <col min="5" max="5" width="19.21875" style="54" customWidth="1"/>
    <col min="6" max="6" width="5.21875" style="53" customWidth="1"/>
    <col min="7" max="7" width="15.77734375" style="53" customWidth="1"/>
    <col min="8" max="8" width="18.44140625" style="53" customWidth="1"/>
    <col min="9" max="16384" width="9.21875" style="53"/>
  </cols>
  <sheetData>
    <row r="1" spans="1:10" ht="18" x14ac:dyDescent="0.3">
      <c r="A1" s="46" t="s">
        <v>198</v>
      </c>
      <c r="C1" s="100"/>
    </row>
    <row r="2" spans="1:10" ht="16.05" customHeight="1" x14ac:dyDescent="0.3">
      <c r="A2" s="49" t="s">
        <v>247</v>
      </c>
      <c r="C2" s="51"/>
    </row>
    <row r="3" spans="1:10" ht="15" customHeight="1" x14ac:dyDescent="0.3">
      <c r="C3" s="51"/>
    </row>
    <row r="4" spans="1:10" ht="15" thickBot="1" x14ac:dyDescent="0.35">
      <c r="C4" s="81"/>
      <c r="D4" s="289" t="s">
        <v>240</v>
      </c>
      <c r="E4" s="290"/>
    </row>
    <row r="5" spans="1:10" ht="28.8" x14ac:dyDescent="0.3">
      <c r="A5" s="287" t="s">
        <v>68</v>
      </c>
      <c r="B5" s="298" t="s">
        <v>63</v>
      </c>
      <c r="C5" s="81"/>
      <c r="D5" s="194" t="s">
        <v>203</v>
      </c>
      <c r="E5" s="195" t="s">
        <v>185</v>
      </c>
      <c r="G5" s="300" t="s">
        <v>68</v>
      </c>
      <c r="H5" s="302" t="s">
        <v>100</v>
      </c>
    </row>
    <row r="6" spans="1:10" ht="16.05" customHeight="1" x14ac:dyDescent="0.3">
      <c r="A6" s="288"/>
      <c r="B6" s="299"/>
      <c r="C6" s="81"/>
      <c r="D6" s="78" t="s">
        <v>65</v>
      </c>
      <c r="E6" s="78" t="s">
        <v>1</v>
      </c>
      <c r="G6" s="301"/>
      <c r="H6" s="303"/>
    </row>
    <row r="7" spans="1:10" x14ac:dyDescent="0.3">
      <c r="A7" s="193">
        <v>4</v>
      </c>
      <c r="B7" s="151" t="s">
        <v>53</v>
      </c>
      <c r="C7" s="82"/>
      <c r="D7" s="191">
        <f>_xlfn.XLOOKUP(B7,'[12]CEO Salary'!$B$7:$B$64,'[12]CEO Salary'!$D$7:$D$64)</f>
        <v>1</v>
      </c>
      <c r="E7" s="261">
        <f>_xlfn.XLOOKUP(B7,'[12]CEO Salary'!$B$7:$B$64,'[12]CEO Salary'!$E$7:$E$64)</f>
        <v>317430.82686399994</v>
      </c>
      <c r="G7" s="293">
        <v>1</v>
      </c>
      <c r="H7" s="297">
        <f>AVERAGEIF($A$7:$A$64,1,$E$7:$E$64)</f>
        <v>159403.30333333334</v>
      </c>
      <c r="I7" s="225"/>
      <c r="J7" s="56"/>
    </row>
    <row r="8" spans="1:10" x14ac:dyDescent="0.3">
      <c r="A8" s="193">
        <v>1</v>
      </c>
      <c r="B8" s="151" t="s">
        <v>4</v>
      </c>
      <c r="C8" s="81"/>
      <c r="D8" s="191">
        <f>_xlfn.XLOOKUP(B8,'[12]CEO Salary'!$B$7:$B$64,'[12]CEO Salary'!$D$7:$D$64)</f>
        <v>1</v>
      </c>
      <c r="E8" s="261">
        <f>_xlfn.XLOOKUP(B8,'[12]CEO Salary'!$B$7:$B$64,'[12]CEO Salary'!$E$7:$E$64)</f>
        <v>130000</v>
      </c>
      <c r="G8" s="293"/>
      <c r="H8" s="297"/>
      <c r="I8" s="225"/>
      <c r="J8" s="56"/>
    </row>
    <row r="9" spans="1:10" x14ac:dyDescent="0.3">
      <c r="A9" s="193">
        <v>1</v>
      </c>
      <c r="B9" s="151" t="s">
        <v>5</v>
      </c>
      <c r="D9" s="191">
        <f>_xlfn.XLOOKUP(B9,'[12]CEO Salary'!$B$7:$B$64,'[12]CEO Salary'!$D$7:$D$64)</f>
        <v>1</v>
      </c>
      <c r="E9" s="261">
        <f>_xlfn.XLOOKUP(B9,'[12]CEO Salary'!$B$7:$B$64,'[12]CEO Salary'!$E$7:$E$64)</f>
        <v>174236.14</v>
      </c>
      <c r="G9" s="293">
        <v>2</v>
      </c>
      <c r="H9" s="294">
        <f>AVERAGEIF($A$7:$A$64,2,$E$7:$E$64)</f>
        <v>223556.37369018179</v>
      </c>
      <c r="I9" s="225"/>
      <c r="J9" s="56"/>
    </row>
    <row r="10" spans="1:10" x14ac:dyDescent="0.3">
      <c r="A10" s="193">
        <v>2</v>
      </c>
      <c r="B10" s="151" t="s">
        <v>19</v>
      </c>
      <c r="D10" s="191">
        <f>_xlfn.XLOOKUP(B10,'[12]CEO Salary'!$B$7:$B$64,'[12]CEO Salary'!$D$7:$D$64)</f>
        <v>1</v>
      </c>
      <c r="E10" s="261">
        <f>_xlfn.XLOOKUP(B10,'[12]CEO Salary'!$B$7:$B$64,'[12]CEO Salary'!$E$7:$E$64)</f>
        <v>244298.22000000009</v>
      </c>
      <c r="G10" s="293"/>
      <c r="H10" s="294"/>
      <c r="I10" s="225"/>
      <c r="J10" s="56"/>
    </row>
    <row r="11" spans="1:10" x14ac:dyDescent="0.3">
      <c r="A11" s="193">
        <v>1</v>
      </c>
      <c r="B11" s="151" t="s">
        <v>6</v>
      </c>
      <c r="D11" s="191">
        <f>_xlfn.XLOOKUP(B11,'[12]CEO Salary'!$B$7:$B$64,'[12]CEO Salary'!$D$7:$D$64)</f>
        <v>1</v>
      </c>
      <c r="E11" s="261">
        <f>_xlfn.XLOOKUP(B11,'[12]CEO Salary'!$B$7:$B$64,'[12]CEO Salary'!$E$7:$E$64)</f>
        <v>168000</v>
      </c>
      <c r="G11" s="293">
        <v>3</v>
      </c>
      <c r="H11" s="294">
        <f>AVERAGEIF($A$7:$A$64,3,$E$7:$E$64)</f>
        <v>250146.99852715383</v>
      </c>
      <c r="I11" s="225"/>
      <c r="J11" s="56"/>
    </row>
    <row r="12" spans="1:10" x14ac:dyDescent="0.3">
      <c r="A12" s="193">
        <v>1</v>
      </c>
      <c r="B12" s="151" t="s">
        <v>7</v>
      </c>
      <c r="C12" s="83"/>
      <c r="D12" s="191">
        <f>_xlfn.XLOOKUP(B12,'[12]CEO Salary'!$B$7:$B$64,'[12]CEO Salary'!$D$7:$D$64)</f>
        <v>1</v>
      </c>
      <c r="E12" s="261">
        <f>_xlfn.XLOOKUP(B12,'[12]CEO Salary'!$B$7:$B$64,'[12]CEO Salary'!$E$7:$E$64)</f>
        <v>144441</v>
      </c>
      <c r="G12" s="293"/>
      <c r="H12" s="294"/>
      <c r="I12" s="225"/>
      <c r="J12" s="56"/>
    </row>
    <row r="13" spans="1:10" x14ac:dyDescent="0.3">
      <c r="A13" s="193">
        <v>3</v>
      </c>
      <c r="B13" s="151" t="s">
        <v>41</v>
      </c>
      <c r="D13" s="191">
        <f>_xlfn.XLOOKUP(B13,'[12]CEO Salary'!$B$7:$B$64,'[12]CEO Salary'!$D$7:$D$64)</f>
        <v>1</v>
      </c>
      <c r="E13" s="261">
        <f>_xlfn.XLOOKUP(B13,'[12]CEO Salary'!$B$7:$B$64,'[12]CEO Salary'!$E$7:$E$64)</f>
        <v>240000.00000000003</v>
      </c>
      <c r="G13" s="293">
        <v>4</v>
      </c>
      <c r="H13" s="294">
        <f>AVERAGEIF($A$7:$A$64,4,$E$7:$E$64)</f>
        <v>337996.00194199994</v>
      </c>
      <c r="I13" s="225"/>
      <c r="J13" s="56"/>
    </row>
    <row r="14" spans="1:10" ht="15" thickBot="1" x14ac:dyDescent="0.35">
      <c r="A14" s="193">
        <v>1</v>
      </c>
      <c r="B14" s="151" t="s">
        <v>8</v>
      </c>
      <c r="D14" s="191">
        <f>_xlfn.XLOOKUP(B14,'[12]CEO Salary'!$B$7:$B$64,'[12]CEO Salary'!$D$7:$D$64)</f>
        <v>1</v>
      </c>
      <c r="E14" s="261">
        <f>_xlfn.XLOOKUP(B14,'[12]CEO Salary'!$B$7:$B$64,'[12]CEO Salary'!$E$7:$E$64)</f>
        <v>162255</v>
      </c>
      <c r="G14" s="295"/>
      <c r="H14" s="296"/>
      <c r="I14" s="225"/>
      <c r="J14" s="56"/>
    </row>
    <row r="15" spans="1:10" x14ac:dyDescent="0.3">
      <c r="A15" s="193">
        <v>2</v>
      </c>
      <c r="B15" s="151" t="s">
        <v>20</v>
      </c>
      <c r="D15" s="191">
        <f>_xlfn.XLOOKUP(B15,'[12]CEO Salary'!$B$7:$B$64,'[12]CEO Salary'!$D$7:$D$64)</f>
        <v>1</v>
      </c>
      <c r="E15" s="261">
        <f>_xlfn.XLOOKUP(B15,'[12]CEO Salary'!$B$7:$B$64,'[12]CEO Salary'!$E$7:$E$64)</f>
        <v>241780.864</v>
      </c>
      <c r="G15" s="112"/>
      <c r="H15" s="112"/>
      <c r="I15" s="225"/>
    </row>
    <row r="16" spans="1:10" x14ac:dyDescent="0.3">
      <c r="A16" s="193">
        <v>3</v>
      </c>
      <c r="B16" s="151" t="s">
        <v>42</v>
      </c>
      <c r="D16" s="191">
        <f>_xlfn.XLOOKUP(B16,'[12]CEO Salary'!$B$7:$B$64,'[12]CEO Salary'!$D$7:$D$64)</f>
        <v>1</v>
      </c>
      <c r="E16" s="261">
        <f>_xlfn.XLOOKUP(B16,'[12]CEO Salary'!$B$7:$B$64,'[12]CEO Salary'!$E$7:$E$64)</f>
        <v>241008.35</v>
      </c>
      <c r="I16" s="225"/>
    </row>
    <row r="17" spans="1:9" x14ac:dyDescent="0.3">
      <c r="A17" s="193">
        <v>1</v>
      </c>
      <c r="B17" s="151" t="s">
        <v>9</v>
      </c>
      <c r="D17" s="191">
        <f>_xlfn.XLOOKUP(B17,'[12]CEO Salary'!$B$7:$B$64,'[12]CEO Salary'!$D$7:$D$64)</f>
        <v>1</v>
      </c>
      <c r="E17" s="261">
        <f>_xlfn.XLOOKUP(B17,'[12]CEO Salary'!$B$7:$B$64,'[12]CEO Salary'!$E$7:$E$64)</f>
        <v>170000</v>
      </c>
      <c r="I17" s="225"/>
    </row>
    <row r="18" spans="1:9" x14ac:dyDescent="0.3">
      <c r="A18" s="193">
        <v>2</v>
      </c>
      <c r="B18" s="151" t="s">
        <v>21</v>
      </c>
      <c r="C18" s="83"/>
      <c r="D18" s="191">
        <f>_xlfn.XLOOKUP(B18,'[12]CEO Salary'!$B$7:$B$64,'[12]CEO Salary'!$D$7:$D$64)</f>
        <v>1</v>
      </c>
      <c r="E18" s="261">
        <f>_xlfn.XLOOKUP(B18,'[12]CEO Salary'!$B$7:$B$64,'[12]CEO Salary'!$E$7:$E$64)</f>
        <v>172924</v>
      </c>
      <c r="I18" s="225"/>
    </row>
    <row r="19" spans="1:9" x14ac:dyDescent="0.3">
      <c r="A19" s="193">
        <v>2</v>
      </c>
      <c r="B19" s="151" t="s">
        <v>22</v>
      </c>
      <c r="D19" s="191">
        <f>_xlfn.XLOOKUP(B19,'[12]CEO Salary'!$B$7:$B$64,'[12]CEO Salary'!$D$7:$D$64)</f>
        <v>1</v>
      </c>
      <c r="E19" s="261">
        <f>_xlfn.XLOOKUP(B19,'[12]CEO Salary'!$B$7:$B$64,'[12]CEO Salary'!$E$7:$E$64)</f>
        <v>216962.65718400001</v>
      </c>
      <c r="I19" s="225"/>
    </row>
    <row r="20" spans="1:9" x14ac:dyDescent="0.3">
      <c r="A20" s="193">
        <v>1</v>
      </c>
      <c r="B20" s="151" t="s">
        <v>10</v>
      </c>
      <c r="D20" s="191">
        <f>_xlfn.XLOOKUP(B20,'[12]CEO Salary'!$B$7:$B$64,'[12]CEO Salary'!$D$7:$D$64)</f>
        <v>1</v>
      </c>
      <c r="E20" s="261">
        <f>_xlfn.XLOOKUP(B20,'[12]CEO Salary'!$B$7:$B$64,'[12]CEO Salary'!$E$7:$E$64)</f>
        <v>180000</v>
      </c>
      <c r="I20" s="225"/>
    </row>
    <row r="21" spans="1:9" x14ac:dyDescent="0.3">
      <c r="A21" s="193">
        <v>3</v>
      </c>
      <c r="B21" s="151" t="s">
        <v>43</v>
      </c>
      <c r="D21" s="191">
        <f>_xlfn.XLOOKUP(B21,'[12]CEO Salary'!$B$7:$B$64,'[12]CEO Salary'!$D$7:$D$64)</f>
        <v>1</v>
      </c>
      <c r="E21" s="261">
        <f>_xlfn.XLOOKUP(B21,'[12]CEO Salary'!$B$7:$B$64,'[12]CEO Salary'!$E$7:$E$64)</f>
        <v>217357.07685300001</v>
      </c>
      <c r="I21" s="225"/>
    </row>
    <row r="22" spans="1:9" x14ac:dyDescent="0.3">
      <c r="A22" s="193">
        <v>2</v>
      </c>
      <c r="B22" s="151" t="s">
        <v>23</v>
      </c>
      <c r="D22" s="191">
        <f>_xlfn.XLOOKUP(B22,'[12]CEO Salary'!$B$7:$B$64,'[12]CEO Salary'!$D$7:$D$64)</f>
        <v>1</v>
      </c>
      <c r="E22" s="261">
        <f>_xlfn.XLOOKUP(B22,'[12]CEO Salary'!$B$7:$B$64,'[12]CEO Salary'!$E$7:$E$64)</f>
        <v>219155.04</v>
      </c>
      <c r="I22" s="225"/>
    </row>
    <row r="23" spans="1:9" x14ac:dyDescent="0.3">
      <c r="A23" s="193">
        <v>2</v>
      </c>
      <c r="B23" s="151" t="s">
        <v>24</v>
      </c>
      <c r="D23" s="191">
        <f>_xlfn.XLOOKUP(B23,'[12]CEO Salary'!$B$7:$B$64,'[12]CEO Salary'!$D$7:$D$64)</f>
        <v>1</v>
      </c>
      <c r="E23" s="261">
        <f>_xlfn.XLOOKUP(B23,'[12]CEO Salary'!$B$7:$B$64,'[12]CEO Salary'!$E$7:$E$64)</f>
        <v>237036</v>
      </c>
      <c r="I23" s="225"/>
    </row>
    <row r="24" spans="1:9" x14ac:dyDescent="0.3">
      <c r="A24" s="193">
        <v>1</v>
      </c>
      <c r="B24" s="151" t="s">
        <v>11</v>
      </c>
      <c r="D24" s="191">
        <f>_xlfn.XLOOKUP(B24,'[12]CEO Salary'!$B$7:$B$64,'[12]CEO Salary'!$D$7:$D$64)</f>
        <v>1</v>
      </c>
      <c r="E24" s="261">
        <f>_xlfn.XLOOKUP(B24,'[12]CEO Salary'!$B$7:$B$64,'[12]CEO Salary'!$E$7:$E$64)</f>
        <v>138141</v>
      </c>
      <c r="I24" s="225"/>
    </row>
    <row r="25" spans="1:9" x14ac:dyDescent="0.3">
      <c r="A25" s="193">
        <v>4</v>
      </c>
      <c r="B25" s="151" t="s">
        <v>54</v>
      </c>
      <c r="D25" s="191">
        <f>_xlfn.XLOOKUP(B25,'[12]CEO Salary'!$B$7:$B$64,'[12]CEO Salary'!$D$7:$D$64)</f>
        <v>1</v>
      </c>
      <c r="E25" s="261">
        <f>_xlfn.XLOOKUP(B25,'[12]CEO Salary'!$B$7:$B$64,'[12]CEO Salary'!$E$7:$E$64)</f>
        <v>515875.384272</v>
      </c>
      <c r="I25" s="225"/>
    </row>
    <row r="26" spans="1:9" x14ac:dyDescent="0.3">
      <c r="A26" s="193">
        <v>2</v>
      </c>
      <c r="B26" s="151" t="s">
        <v>25</v>
      </c>
      <c r="D26" s="191">
        <f>_xlfn.XLOOKUP(B26,'[12]CEO Salary'!$B$7:$B$64,'[12]CEO Salary'!$D$7:$D$64)</f>
        <v>1</v>
      </c>
      <c r="E26" s="261">
        <f>_xlfn.XLOOKUP(B26,'[12]CEO Salary'!$B$7:$B$64,'[12]CEO Salary'!$E$7:$E$64)</f>
        <v>215214</v>
      </c>
      <c r="I26" s="225"/>
    </row>
    <row r="27" spans="1:9" x14ac:dyDescent="0.3">
      <c r="A27" s="193">
        <v>2</v>
      </c>
      <c r="B27" s="151" t="s">
        <v>26</v>
      </c>
      <c r="D27" s="191">
        <f>_xlfn.XLOOKUP(B27,'[12]CEO Salary'!$B$7:$B$64,'[12]CEO Salary'!$D$7:$D$64)</f>
        <v>1</v>
      </c>
      <c r="E27" s="261">
        <f>_xlfn.XLOOKUP(B27,'[12]CEO Salary'!$B$7:$B$64,'[12]CEO Salary'!$E$7:$E$64)</f>
        <v>287345.84999999998</v>
      </c>
      <c r="I27" s="225"/>
    </row>
    <row r="28" spans="1:9" x14ac:dyDescent="0.3">
      <c r="A28" s="193">
        <v>1</v>
      </c>
      <c r="B28" s="151" t="s">
        <v>12</v>
      </c>
      <c r="D28" s="191">
        <f>_xlfn.XLOOKUP(B28,'[12]CEO Salary'!$B$7:$B$64,'[12]CEO Salary'!$D$7:$D$64)</f>
        <v>1</v>
      </c>
      <c r="E28" s="261">
        <f>_xlfn.XLOOKUP(B28,'[12]CEO Salary'!$B$7:$B$64,'[12]CEO Salary'!$E$7:$E$64)</f>
        <v>134449.49</v>
      </c>
      <c r="I28" s="225"/>
    </row>
    <row r="29" spans="1:9" x14ac:dyDescent="0.3">
      <c r="A29" s="193">
        <v>2</v>
      </c>
      <c r="B29" s="151" t="s">
        <v>27</v>
      </c>
      <c r="D29" s="191">
        <f>_xlfn.XLOOKUP(B29,'[12]CEO Salary'!$B$7:$B$64,'[12]CEO Salary'!$D$7:$D$64)</f>
        <v>1</v>
      </c>
      <c r="E29" s="261">
        <f>_xlfn.XLOOKUP(B29,'[12]CEO Salary'!$B$7:$B$64,'[12]CEO Salary'!$E$7:$E$64)</f>
        <v>250266</v>
      </c>
      <c r="I29" s="225"/>
    </row>
    <row r="30" spans="1:9" x14ac:dyDescent="0.3">
      <c r="A30" s="193">
        <v>2</v>
      </c>
      <c r="B30" s="151" t="s">
        <v>28</v>
      </c>
      <c r="D30" s="191">
        <f>_xlfn.XLOOKUP(B30,'[12]CEO Salary'!$B$7:$B$64,'[12]CEO Salary'!$D$7:$D$64)</f>
        <v>1</v>
      </c>
      <c r="E30" s="261">
        <f>_xlfn.XLOOKUP(B30,'[12]CEO Salary'!$B$7:$B$64,'[12]CEO Salary'!$E$7:$E$64)</f>
        <v>205628.80000000002</v>
      </c>
      <c r="I30" s="225"/>
    </row>
    <row r="31" spans="1:9" x14ac:dyDescent="0.3">
      <c r="A31" s="193">
        <v>1</v>
      </c>
      <c r="B31" s="151" t="s">
        <v>13</v>
      </c>
      <c r="D31" s="191">
        <f>_xlfn.XLOOKUP(B31,'[12]CEO Salary'!$B$7:$B$64,'[12]CEO Salary'!$D$7:$D$64)</f>
        <v>1</v>
      </c>
      <c r="E31" s="261">
        <f>_xlfn.XLOOKUP(B31,'[12]CEO Salary'!$B$7:$B$64,'[12]CEO Salary'!$E$7:$E$64)</f>
        <v>155187.48000000001</v>
      </c>
      <c r="I31" s="225"/>
    </row>
    <row r="32" spans="1:9" x14ac:dyDescent="0.3">
      <c r="A32" s="193">
        <v>1</v>
      </c>
      <c r="B32" s="151" t="s">
        <v>14</v>
      </c>
      <c r="D32" s="191">
        <f>_xlfn.XLOOKUP(B32,'[12]CEO Salary'!$B$7:$B$64,'[12]CEO Salary'!$D$7:$D$64)</f>
        <v>1</v>
      </c>
      <c r="E32" s="261">
        <f>_xlfn.XLOOKUP(B32,'[12]CEO Salary'!$B$7:$B$64,'[12]CEO Salary'!$E$7:$E$64)</f>
        <v>148259</v>
      </c>
      <c r="I32" s="225"/>
    </row>
    <row r="33" spans="1:9" x14ac:dyDescent="0.3">
      <c r="A33" s="193">
        <v>3</v>
      </c>
      <c r="B33" s="151" t="s">
        <v>44</v>
      </c>
      <c r="D33" s="191">
        <f>_xlfn.XLOOKUP(B33,'[12]CEO Salary'!$B$7:$B$64,'[12]CEO Salary'!$D$7:$D$64)</f>
        <v>1</v>
      </c>
      <c r="E33" s="261">
        <f>_xlfn.XLOOKUP(B33,'[12]CEO Salary'!$B$7:$B$64,'[12]CEO Salary'!$E$7:$E$64)</f>
        <v>227500</v>
      </c>
      <c r="I33" s="225"/>
    </row>
    <row r="34" spans="1:9" x14ac:dyDescent="0.3">
      <c r="A34" s="193">
        <v>2</v>
      </c>
      <c r="B34" s="151" t="s">
        <v>29</v>
      </c>
      <c r="D34" s="191">
        <f>_xlfn.XLOOKUP(B34,'[12]CEO Salary'!$B$7:$B$64,'[12]CEO Salary'!$D$7:$D$64)</f>
        <v>1</v>
      </c>
      <c r="E34" s="261">
        <f>_xlfn.XLOOKUP(B34,'[12]CEO Salary'!$B$7:$B$64,'[12]CEO Salary'!$E$7:$E$64)</f>
        <v>232565</v>
      </c>
      <c r="I34" s="225"/>
    </row>
    <row r="35" spans="1:9" x14ac:dyDescent="0.3">
      <c r="A35" s="193">
        <v>2</v>
      </c>
      <c r="B35" s="151" t="s">
        <v>30</v>
      </c>
      <c r="D35" s="191">
        <f>_xlfn.XLOOKUP(B35,'[12]CEO Salary'!$B$7:$B$64,'[12]CEO Salary'!$D$7:$D$64)</f>
        <v>1</v>
      </c>
      <c r="E35" s="261">
        <f>_xlfn.XLOOKUP(B35,'[12]CEO Salary'!$B$7:$B$64,'[12]CEO Salary'!$E$7:$E$64)</f>
        <v>208017.94999999998</v>
      </c>
      <c r="I35" s="225"/>
    </row>
    <row r="36" spans="1:9" x14ac:dyDescent="0.3">
      <c r="A36" s="193">
        <v>4</v>
      </c>
      <c r="B36" s="151" t="s">
        <v>55</v>
      </c>
      <c r="D36" s="191">
        <f>_xlfn.XLOOKUP(B36,'[12]CEO Salary'!$B$7:$B$64,'[12]CEO Salary'!$D$7:$D$64)</f>
        <v>1</v>
      </c>
      <c r="E36" s="261">
        <f>_xlfn.XLOOKUP(B36,'[12]CEO Salary'!$B$7:$B$64,'[12]CEO Salary'!$E$7:$E$64)</f>
        <v>335291.04000000004</v>
      </c>
      <c r="I36" s="225"/>
    </row>
    <row r="37" spans="1:9" x14ac:dyDescent="0.3">
      <c r="A37" s="193">
        <v>2</v>
      </c>
      <c r="B37" s="151" t="s">
        <v>31</v>
      </c>
      <c r="D37" s="191">
        <f>_xlfn.XLOOKUP(B37,'[12]CEO Salary'!$B$7:$B$64,'[12]CEO Salary'!$D$7:$D$64)</f>
        <v>1</v>
      </c>
      <c r="E37" s="261">
        <f>_xlfn.XLOOKUP(B37,'[12]CEO Salary'!$B$7:$B$64,'[12]CEO Salary'!$E$7:$E$64)</f>
        <v>258752.04</v>
      </c>
      <c r="I37" s="225"/>
    </row>
    <row r="38" spans="1:9" x14ac:dyDescent="0.3">
      <c r="A38" s="193">
        <v>1</v>
      </c>
      <c r="B38" s="151" t="s">
        <v>15</v>
      </c>
      <c r="D38" s="191">
        <f>_xlfn.XLOOKUP(B38,'[12]CEO Salary'!$B$7:$B$64,'[12]CEO Salary'!$D$7:$D$64)</f>
        <v>1</v>
      </c>
      <c r="E38" s="261">
        <f>_xlfn.XLOOKUP(B38,'[12]CEO Salary'!$B$7:$B$64,'[12]CEO Salary'!$E$7:$E$64)</f>
        <v>147000</v>
      </c>
      <c r="I38" s="225"/>
    </row>
    <row r="39" spans="1:9" x14ac:dyDescent="0.3">
      <c r="A39" s="193">
        <v>4</v>
      </c>
      <c r="B39" s="151" t="s">
        <v>56</v>
      </c>
      <c r="D39" s="191">
        <f>_xlfn.XLOOKUP(B39,'[12]CEO Salary'!$B$7:$B$64,'[12]CEO Salary'!$D$7:$D$64)</f>
        <v>1</v>
      </c>
      <c r="E39" s="261">
        <f>_xlfn.XLOOKUP(B39,'[12]CEO Salary'!$B$7:$B$64,'[12]CEO Salary'!$E$7:$E$64)</f>
        <v>285829.7</v>
      </c>
      <c r="I39" s="225"/>
    </row>
    <row r="40" spans="1:9" x14ac:dyDescent="0.3">
      <c r="A40" s="193">
        <v>4</v>
      </c>
      <c r="B40" s="151" t="s">
        <v>57</v>
      </c>
      <c r="D40" s="191">
        <f>_xlfn.XLOOKUP(B40,'[12]CEO Salary'!$B$7:$B$64,'[12]CEO Salary'!$D$7:$D$64)</f>
        <v>1</v>
      </c>
      <c r="E40" s="261">
        <f>_xlfn.XLOOKUP(B40,'[12]CEO Salary'!$B$7:$B$64,'[12]CEO Salary'!$E$7:$E$64)</f>
        <v>287752.5</v>
      </c>
      <c r="I40" s="225"/>
    </row>
    <row r="41" spans="1:9" x14ac:dyDescent="0.3">
      <c r="A41" s="193">
        <v>1</v>
      </c>
      <c r="B41" s="151" t="s">
        <v>16</v>
      </c>
      <c r="D41" s="191">
        <f>_xlfn.XLOOKUP(B41,'[12]CEO Salary'!$B$7:$B$64,'[12]CEO Salary'!$D$7:$D$64)</f>
        <v>1</v>
      </c>
      <c r="E41" s="261">
        <f>_xlfn.XLOOKUP(B41,'[12]CEO Salary'!$B$7:$B$64,'[12]CEO Salary'!$E$7:$E$64)</f>
        <v>210888</v>
      </c>
      <c r="I41" s="225"/>
    </row>
    <row r="42" spans="1:9" x14ac:dyDescent="0.3">
      <c r="A42" s="193">
        <v>4</v>
      </c>
      <c r="B42" s="151" t="s">
        <v>58</v>
      </c>
      <c r="D42" s="191">
        <f>_xlfn.XLOOKUP(B42,'[12]CEO Salary'!$B$7:$B$64,'[12]CEO Salary'!$D$7:$D$64)</f>
        <v>1</v>
      </c>
      <c r="E42" s="261">
        <f>_xlfn.XLOOKUP(B42,'[12]CEO Salary'!$B$7:$B$64,'[12]CEO Salary'!$E$7:$E$64)</f>
        <v>308779.92</v>
      </c>
      <c r="I42" s="225"/>
    </row>
    <row r="43" spans="1:9" x14ac:dyDescent="0.3">
      <c r="A43" s="193">
        <v>4</v>
      </c>
      <c r="B43" s="151" t="s">
        <v>59</v>
      </c>
      <c r="D43" s="191">
        <f>_xlfn.XLOOKUP(B43,'[12]CEO Salary'!$B$7:$B$64,'[12]CEO Salary'!$D$7:$D$64)</f>
        <v>1</v>
      </c>
      <c r="E43" s="261">
        <f>_xlfn.XLOOKUP(B43,'[12]CEO Salary'!$B$7:$B$64,'[12]CEO Salary'!$E$7:$E$64)</f>
        <v>332708.57</v>
      </c>
      <c r="I43" s="225"/>
    </row>
    <row r="44" spans="1:9" x14ac:dyDescent="0.3">
      <c r="A44" s="193">
        <v>3</v>
      </c>
      <c r="B44" s="151" t="s">
        <v>60</v>
      </c>
      <c r="D44" s="191">
        <f>_xlfn.XLOOKUP(B44,'[12]CEO Salary'!$B$7:$B$64,'[12]CEO Salary'!$D$7:$D$64)</f>
        <v>1</v>
      </c>
      <c r="E44" s="261">
        <f>_xlfn.XLOOKUP(B44,'[12]CEO Salary'!$B$7:$B$64,'[12]CEO Salary'!$E$7:$E$64)</f>
        <v>266163.80999999907</v>
      </c>
      <c r="I44" s="225"/>
    </row>
    <row r="45" spans="1:9" x14ac:dyDescent="0.3">
      <c r="A45" s="193">
        <v>3</v>
      </c>
      <c r="B45" s="151" t="s">
        <v>45</v>
      </c>
      <c r="D45" s="191">
        <f>_xlfn.XLOOKUP(B45,'[12]CEO Salary'!$B$7:$B$64,'[12]CEO Salary'!$D$7:$D$64)</f>
        <v>1</v>
      </c>
      <c r="E45" s="261">
        <f>_xlfn.XLOOKUP(B45,'[12]CEO Salary'!$B$7:$B$64,'[12]CEO Salary'!$E$7:$E$64)</f>
        <v>267168.01</v>
      </c>
      <c r="I45" s="225"/>
    </row>
    <row r="46" spans="1:9" x14ac:dyDescent="0.3">
      <c r="A46" s="193">
        <v>2</v>
      </c>
      <c r="B46" s="151" t="s">
        <v>32</v>
      </c>
      <c r="D46" s="191">
        <f>_xlfn.XLOOKUP(B46,'[12]CEO Salary'!$B$7:$B$64,'[12]CEO Salary'!$D$7:$D$64)</f>
        <v>1</v>
      </c>
      <c r="E46" s="261">
        <f>_xlfn.XLOOKUP(B46,'[12]CEO Salary'!$B$7:$B$64,'[12]CEO Salary'!$E$7:$E$64)</f>
        <v>239716.88</v>
      </c>
      <c r="I46" s="225"/>
    </row>
    <row r="47" spans="1:9" x14ac:dyDescent="0.3">
      <c r="A47" s="193">
        <v>3</v>
      </c>
      <c r="B47" s="151" t="s">
        <v>46</v>
      </c>
      <c r="D47" s="191">
        <f>_xlfn.XLOOKUP(B47,'[12]CEO Salary'!$B$7:$B$64,'[12]CEO Salary'!$D$7:$D$64)</f>
        <v>1</v>
      </c>
      <c r="E47" s="261">
        <f>_xlfn.XLOOKUP(B47,'[12]CEO Salary'!$B$7:$B$64,'[12]CEO Salary'!$E$7:$E$64)</f>
        <v>281652.8</v>
      </c>
      <c r="I47" s="225"/>
    </row>
    <row r="48" spans="1:9" x14ac:dyDescent="0.3">
      <c r="A48" s="193">
        <v>3</v>
      </c>
      <c r="B48" s="151" t="s">
        <v>47</v>
      </c>
      <c r="D48" s="191">
        <f>_xlfn.XLOOKUP(B48,'[12]CEO Salary'!$B$7:$B$64,'[12]CEO Salary'!$D$7:$D$64)</f>
        <v>1</v>
      </c>
      <c r="E48" s="261">
        <f>_xlfn.XLOOKUP(B48,'[12]CEO Salary'!$B$7:$B$64,'[12]CEO Salary'!$E$7:$E$64)</f>
        <v>241326.8</v>
      </c>
      <c r="I48" s="225"/>
    </row>
    <row r="49" spans="1:9" x14ac:dyDescent="0.3">
      <c r="A49" s="193">
        <v>4</v>
      </c>
      <c r="B49" s="151" t="s">
        <v>61</v>
      </c>
      <c r="D49" s="191">
        <f>_xlfn.XLOOKUP(B49,'[12]CEO Salary'!$B$7:$B$64,'[12]CEO Salary'!$D$7:$D$64)</f>
        <v>1</v>
      </c>
      <c r="E49" s="261">
        <f>_xlfn.XLOOKUP(B49,'[12]CEO Salary'!$B$7:$B$64,'[12]CEO Salary'!$E$7:$E$64)</f>
        <v>320300.07439999998</v>
      </c>
      <c r="I49" s="225"/>
    </row>
    <row r="50" spans="1:9" x14ac:dyDescent="0.3">
      <c r="A50" s="193">
        <v>2</v>
      </c>
      <c r="B50" s="151" t="s">
        <v>33</v>
      </c>
      <c r="D50" s="191">
        <f>_xlfn.XLOOKUP(B50,'[12]CEO Salary'!$B$7:$B$64,'[12]CEO Salary'!$D$7:$D$64)</f>
        <v>1</v>
      </c>
      <c r="E50" s="261">
        <f>_xlfn.XLOOKUP(B50,'[12]CEO Salary'!$B$7:$B$64,'[12]CEO Salary'!$E$7:$E$64)</f>
        <v>231138</v>
      </c>
      <c r="I50" s="225"/>
    </row>
    <row r="51" spans="1:9" x14ac:dyDescent="0.3">
      <c r="A51" s="193">
        <v>2</v>
      </c>
      <c r="B51" s="151" t="s">
        <v>34</v>
      </c>
      <c r="D51" s="191">
        <f>_xlfn.XLOOKUP(B51,'[12]CEO Salary'!$B$7:$B$64,'[12]CEO Salary'!$D$7:$D$64)</f>
        <v>1</v>
      </c>
      <c r="E51" s="261">
        <f>_xlfn.XLOOKUP(B51,'[12]CEO Salary'!$B$7:$B$64,'[12]CEO Salary'!$E$7:$E$64)</f>
        <v>191096.53</v>
      </c>
      <c r="I51" s="225"/>
    </row>
    <row r="52" spans="1:9" x14ac:dyDescent="0.3">
      <c r="A52" s="193">
        <v>1</v>
      </c>
      <c r="B52" s="151" t="s">
        <v>17</v>
      </c>
      <c r="D52" s="191">
        <f>_xlfn.XLOOKUP(B52,'[12]CEO Salary'!$B$7:$B$64,'[12]CEO Salary'!$D$7:$D$64)</f>
        <v>1</v>
      </c>
      <c r="E52" s="261">
        <f>_xlfn.XLOOKUP(B52,'[12]CEO Salary'!$B$7:$B$64,'[12]CEO Salary'!$E$7:$E$64)</f>
        <v>164385</v>
      </c>
      <c r="I52" s="225"/>
    </row>
    <row r="53" spans="1:9" x14ac:dyDescent="0.3">
      <c r="A53" s="193">
        <v>2</v>
      </c>
      <c r="B53" s="151" t="s">
        <v>35</v>
      </c>
      <c r="D53" s="191">
        <f>_xlfn.XLOOKUP(B53,'[12]CEO Salary'!$B$7:$B$64,'[12]CEO Salary'!$D$7:$D$64)</f>
        <v>1</v>
      </c>
      <c r="E53" s="261">
        <f>_xlfn.XLOOKUP(B53,'[12]CEO Salary'!$B$7:$B$64,'[12]CEO Salary'!$E$7:$E$64)</f>
        <v>208018</v>
      </c>
      <c r="I53" s="225"/>
    </row>
    <row r="54" spans="1:9" x14ac:dyDescent="0.3">
      <c r="A54" s="193">
        <v>3</v>
      </c>
      <c r="B54" s="151" t="s">
        <v>48</v>
      </c>
      <c r="D54" s="191">
        <f>_xlfn.XLOOKUP(B54,'[12]CEO Salary'!$B$7:$B$64,'[12]CEO Salary'!$D$7:$D$64)</f>
        <v>1</v>
      </c>
      <c r="E54" s="261">
        <f>_xlfn.XLOOKUP(B54,'[12]CEO Salary'!$B$7:$B$64,'[12]CEO Salary'!$E$7:$E$64)</f>
        <v>241868.17200000002</v>
      </c>
      <c r="I54" s="225"/>
    </row>
    <row r="55" spans="1:9" x14ac:dyDescent="0.3">
      <c r="A55" s="193">
        <v>3</v>
      </c>
      <c r="B55" s="151" t="s">
        <v>49</v>
      </c>
      <c r="D55" s="191">
        <f>_xlfn.XLOOKUP(B55,'[12]CEO Salary'!$B$7:$B$64,'[12]CEO Salary'!$D$7:$D$64)</f>
        <v>1</v>
      </c>
      <c r="E55" s="261">
        <f>_xlfn.XLOOKUP(B55,'[12]CEO Salary'!$B$7:$B$64,'[12]CEO Salary'!$E$7:$E$64)</f>
        <v>234607.68</v>
      </c>
      <c r="I55" s="225"/>
    </row>
    <row r="56" spans="1:9" x14ac:dyDescent="0.3">
      <c r="A56" s="193">
        <v>3</v>
      </c>
      <c r="B56" s="151" t="s">
        <v>50</v>
      </c>
      <c r="D56" s="191">
        <f>_xlfn.XLOOKUP(B56,'[12]CEO Salary'!$B$7:$B$64,'[12]CEO Salary'!$D$7:$D$64)</f>
        <v>1</v>
      </c>
      <c r="E56" s="261">
        <f>_xlfn.XLOOKUP(B56,'[12]CEO Salary'!$B$7:$B$64,'[12]CEO Salary'!$E$7:$E$64)</f>
        <v>262497.56</v>
      </c>
      <c r="I56" s="225"/>
    </row>
    <row r="57" spans="1:9" x14ac:dyDescent="0.3">
      <c r="A57" s="193">
        <v>2</v>
      </c>
      <c r="B57" s="151" t="s">
        <v>36</v>
      </c>
      <c r="D57" s="191">
        <f>_xlfn.XLOOKUP(B57,'[12]CEO Salary'!$B$7:$B$64,'[12]CEO Salary'!$D$7:$D$64)</f>
        <v>1</v>
      </c>
      <c r="E57" s="261">
        <f>_xlfn.XLOOKUP(B57,'[12]CEO Salary'!$B$7:$B$64,'[12]CEO Salary'!$E$7:$E$64)</f>
        <v>211617.94</v>
      </c>
      <c r="I57" s="225"/>
    </row>
    <row r="58" spans="1:9" x14ac:dyDescent="0.3">
      <c r="A58" s="193">
        <v>2</v>
      </c>
      <c r="B58" s="151" t="s">
        <v>37</v>
      </c>
      <c r="D58" s="191">
        <f>_xlfn.XLOOKUP(B58,'[12]CEO Salary'!$B$7:$B$64,'[12]CEO Salary'!$D$7:$D$64)</f>
        <v>1</v>
      </c>
      <c r="E58" s="261">
        <f>_xlfn.XLOOKUP(B58,'[12]CEO Salary'!$B$7:$B$64,'[12]CEO Salary'!$E$7:$E$64)</f>
        <v>209698</v>
      </c>
      <c r="I58" s="225"/>
    </row>
    <row r="59" spans="1:9" x14ac:dyDescent="0.3">
      <c r="A59" s="193">
        <v>1</v>
      </c>
      <c r="B59" s="151" t="s">
        <v>18</v>
      </c>
      <c r="D59" s="191">
        <f>_xlfn.XLOOKUP(B59,'[12]CEO Salary'!$B$7:$B$64,'[12]CEO Salary'!$D$7:$D$64)</f>
        <v>1</v>
      </c>
      <c r="E59" s="261">
        <f>_xlfn.XLOOKUP(B59,'[12]CEO Salary'!$B$7:$B$64,'[12]CEO Salary'!$E$7:$E$64)</f>
        <v>163807.44</v>
      </c>
      <c r="I59" s="225"/>
    </row>
    <row r="60" spans="1:9" x14ac:dyDescent="0.3">
      <c r="A60" s="193">
        <v>3</v>
      </c>
      <c r="B60" s="151" t="s">
        <v>51</v>
      </c>
      <c r="D60" s="191">
        <f>_xlfn.XLOOKUP(B60,'[12]CEO Salary'!$B$7:$B$64,'[12]CEO Salary'!$D$7:$D$64)</f>
        <v>1</v>
      </c>
      <c r="E60" s="261">
        <f>_xlfn.XLOOKUP(B60,'[12]CEO Salary'!$B$7:$B$64,'[12]CEO Salary'!$E$7:$E$64)</f>
        <v>235012.75199999998</v>
      </c>
      <c r="I60" s="225"/>
    </row>
    <row r="61" spans="1:9" x14ac:dyDescent="0.3">
      <c r="A61" s="193">
        <v>2</v>
      </c>
      <c r="B61" s="151" t="s">
        <v>38</v>
      </c>
      <c r="D61" s="191">
        <f>_xlfn.XLOOKUP(B61,'[12]CEO Salary'!$B$7:$B$64,'[12]CEO Salary'!$D$7:$D$64)</f>
        <v>1</v>
      </c>
      <c r="E61" s="261">
        <f>_xlfn.XLOOKUP(B61,'[12]CEO Salary'!$B$7:$B$64,'[12]CEO Salary'!$E$7:$E$64)</f>
        <v>166904</v>
      </c>
      <c r="I61" s="225"/>
    </row>
    <row r="62" spans="1:9" x14ac:dyDescent="0.3">
      <c r="A62" s="193">
        <v>3</v>
      </c>
      <c r="B62" s="151" t="s">
        <v>52</v>
      </c>
      <c r="D62" s="191">
        <f>_xlfn.XLOOKUP(B62,'[12]CEO Salary'!$B$7:$B$64,'[12]CEO Salary'!$D$7:$D$64)</f>
        <v>1</v>
      </c>
      <c r="E62" s="261">
        <f>_xlfn.XLOOKUP(B62,'[12]CEO Salary'!$B$7:$B$64,'[12]CEO Salary'!$E$7:$E$64)</f>
        <v>295747.96999999997</v>
      </c>
      <c r="I62" s="225"/>
    </row>
    <row r="63" spans="1:9" x14ac:dyDescent="0.3">
      <c r="A63" s="193">
        <v>2</v>
      </c>
      <c r="B63" s="151" t="s">
        <v>39</v>
      </c>
      <c r="D63" s="191">
        <f>_xlfn.XLOOKUP(B63,'[12]CEO Salary'!$B$7:$B$64,'[12]CEO Salary'!$D$7:$D$64)</f>
        <v>1</v>
      </c>
      <c r="E63" s="261">
        <f>_xlfn.XLOOKUP(B63,'[12]CEO Salary'!$B$7:$B$64,'[12]CEO Salary'!$E$7:$E$64)</f>
        <v>262086.45</v>
      </c>
      <c r="I63" s="225"/>
    </row>
    <row r="64" spans="1:9" x14ac:dyDescent="0.3">
      <c r="A64" s="193">
        <v>2</v>
      </c>
      <c r="B64" s="151" t="s">
        <v>40</v>
      </c>
      <c r="D64" s="191">
        <f>_xlfn.XLOOKUP(B64,'[12]CEO Salary'!$B$7:$B$64,'[12]CEO Salary'!$D$7:$D$64)</f>
        <v>1</v>
      </c>
      <c r="E64" s="261">
        <f>_xlfn.XLOOKUP(B64,'[12]CEO Salary'!$B$7:$B$64,'[12]CEO Salary'!$E$7:$E$64)</f>
        <v>208018</v>
      </c>
      <c r="I64" s="225"/>
    </row>
    <row r="65" spans="1:5" ht="15" thickBot="1" x14ac:dyDescent="0.35">
      <c r="A65" s="190"/>
      <c r="B65" s="98" t="s">
        <v>174</v>
      </c>
      <c r="D65" s="192">
        <f>SUM(D7:D64)</f>
        <v>58</v>
      </c>
      <c r="E65" s="77">
        <f>SUM(E7:E64)</f>
        <v>13265168.767573003</v>
      </c>
    </row>
    <row r="66" spans="1:5" ht="15" thickTop="1" x14ac:dyDescent="0.3"/>
  </sheetData>
  <mergeCells count="13">
    <mergeCell ref="G7:G8"/>
    <mergeCell ref="H7:H8"/>
    <mergeCell ref="D4:E4"/>
    <mergeCell ref="A5:A6"/>
    <mergeCell ref="B5:B6"/>
    <mergeCell ref="G5:G6"/>
    <mergeCell ref="H5:H6"/>
    <mergeCell ref="G9:G10"/>
    <mergeCell ref="H9:H10"/>
    <mergeCell ref="G11:G12"/>
    <mergeCell ref="H11:H12"/>
    <mergeCell ref="G13:G14"/>
    <mergeCell ref="H13:H14"/>
  </mergeCells>
  <printOptions horizontalCentered="1"/>
  <pageMargins left="0.5" right="0.5" top="0.5" bottom="0.5" header="0.3" footer="0.3"/>
  <pageSetup scale="74"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10</vt:i4>
      </vt:variant>
    </vt:vector>
  </HeadingPairs>
  <TitlesOfParts>
    <vt:vector size="24" baseType="lpstr">
      <vt:lpstr>README</vt:lpstr>
      <vt:lpstr>WF Need</vt:lpstr>
      <vt:lpstr>BLS</vt:lpstr>
      <vt:lpstr>RAS</vt:lpstr>
      <vt:lpstr>AVG RAS salary</vt:lpstr>
      <vt:lpstr>FTE Allotment Factor</vt:lpstr>
      <vt:lpstr>Program 10</vt:lpstr>
      <vt:lpstr>Program 90</vt:lpstr>
      <vt:lpstr>CEO Salary</vt:lpstr>
      <vt:lpstr>OE&amp;E by Cluster</vt:lpstr>
      <vt:lpstr>AB1058</vt:lpstr>
      <vt:lpstr>Floor Adjustment</vt:lpstr>
      <vt:lpstr>Floors</vt:lpstr>
      <vt:lpstr>SUMMARY</vt:lpstr>
      <vt:lpstr>RAS!_GoBack</vt:lpstr>
      <vt:lpstr>'AVG RAS salary'!Print_Area</vt:lpstr>
      <vt:lpstr>BLS!Print_Area</vt:lpstr>
      <vt:lpstr>'Floor Adjustment'!Print_Area</vt:lpstr>
      <vt:lpstr>Floors!Print_Area</vt:lpstr>
      <vt:lpstr>'FTE Allotment Factor'!Print_Area</vt:lpstr>
      <vt:lpstr>RAS!Print_Area</vt:lpstr>
      <vt:lpstr>'Floor Adjustment'!Print_Titles</vt:lpstr>
      <vt:lpstr>'FTE Allotment Factor'!Print_Titles</vt:lpstr>
      <vt:lpstr>'WF Need'!Print_Titles</vt:lpstr>
    </vt:vector>
  </TitlesOfParts>
  <Company>Administrative Office of the Courts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DMacLeod</dc:creator>
  <cp:lastModifiedBy>Capuli, Kyle</cp:lastModifiedBy>
  <cp:lastPrinted>2018-05-30T16:39:51Z</cp:lastPrinted>
  <dcterms:created xsi:type="dcterms:W3CDTF">2012-06-26T18:06:24Z</dcterms:created>
  <dcterms:modified xsi:type="dcterms:W3CDTF">2026-03-05T23:03:06Z</dcterms:modified>
</cp:coreProperties>
</file>